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matchan\Downloads\"/>
    </mc:Choice>
  </mc:AlternateContent>
  <xr:revisionPtr revIDLastSave="0" documentId="13_ncr:1_{F748EAA2-73D0-44FF-822A-207B3DFB8A81}" xr6:coauthVersionLast="47" xr6:coauthVersionMax="47" xr10:uidLastSave="{00000000-0000-0000-0000-000000000000}"/>
  <bookViews>
    <workbookView xWindow="-110" yWindow="-110" windowWidth="18220" windowHeight="11760" xr2:uid="{00000000-000D-0000-FFFF-FFFF00000000}"/>
  </bookViews>
  <sheets>
    <sheet name="入賞者" sheetId="11" r:id="rId1"/>
    <sheet name="読手" sheetId="21" r:id="rId2"/>
    <sheet name="振込一覧（確認用）" sheetId="14" state="hidden" r:id="rId3"/>
    <sheet name="振込一覧（送信用原本）" sheetId="15" state="hidden" r:id="rId4"/>
    <sheet name="かるた会一覧" sheetId="18" state="hidden" r:id="rId5"/>
    <sheet name="速報シート集約" sheetId="19" state="hidden" r:id="rId6"/>
    <sheet name="連絡先一覧" sheetId="20" state="hidden" r:id="rId7"/>
  </sheets>
  <calcPr calcId="181029"/>
</workbook>
</file>

<file path=xl/calcChain.xml><?xml version="1.0" encoding="utf-8"?>
<calcChain xmlns="http://schemas.openxmlformats.org/spreadsheetml/2006/main">
  <c r="A2" i="20" l="1"/>
  <c r="H121" i="19"/>
  <c r="G121" i="19"/>
  <c r="F121" i="19"/>
  <c r="E121" i="19"/>
  <c r="D121" i="19"/>
  <c r="H120" i="19"/>
  <c r="G120" i="19"/>
  <c r="F120" i="19"/>
  <c r="E120" i="19"/>
  <c r="D120" i="19"/>
  <c r="H119" i="19"/>
  <c r="G119" i="19"/>
  <c r="F119" i="19"/>
  <c r="E119" i="19"/>
  <c r="D119" i="19"/>
  <c r="H118" i="19"/>
  <c r="G118" i="19"/>
  <c r="F118" i="19"/>
  <c r="E118" i="19"/>
  <c r="D118" i="19"/>
  <c r="H117" i="19"/>
  <c r="G117" i="19"/>
  <c r="F117" i="19"/>
  <c r="E117" i="19"/>
  <c r="D117" i="19"/>
  <c r="H116" i="19"/>
  <c r="G116" i="19"/>
  <c r="F116" i="19"/>
  <c r="E116" i="19"/>
  <c r="D116" i="19"/>
  <c r="H115" i="19"/>
  <c r="G115" i="19"/>
  <c r="F115" i="19"/>
  <c r="E115" i="19"/>
  <c r="D115" i="19"/>
  <c r="H114" i="19"/>
  <c r="G114" i="19"/>
  <c r="F114" i="19"/>
  <c r="E114" i="19"/>
  <c r="D114" i="19"/>
  <c r="H113" i="19"/>
  <c r="G113" i="19"/>
  <c r="F113" i="19"/>
  <c r="E113" i="19"/>
  <c r="D113" i="19"/>
  <c r="H112" i="19"/>
  <c r="G112" i="19"/>
  <c r="F112" i="19"/>
  <c r="E112" i="19"/>
  <c r="D112" i="19"/>
  <c r="H111" i="19"/>
  <c r="G111" i="19"/>
  <c r="F111" i="19"/>
  <c r="E111" i="19"/>
  <c r="D111" i="19"/>
  <c r="H110" i="19"/>
  <c r="G110" i="19"/>
  <c r="F110" i="19"/>
  <c r="E110" i="19"/>
  <c r="D110" i="19"/>
  <c r="H109" i="19"/>
  <c r="G109" i="19"/>
  <c r="F109" i="19"/>
  <c r="E109" i="19"/>
  <c r="D109" i="19"/>
  <c r="H108" i="19"/>
  <c r="G108" i="19"/>
  <c r="F108" i="19"/>
  <c r="E108" i="19"/>
  <c r="D108" i="19"/>
  <c r="H107" i="19"/>
  <c r="G107" i="19"/>
  <c r="F107" i="19"/>
  <c r="E107" i="19"/>
  <c r="D107" i="19"/>
  <c r="H106" i="19"/>
  <c r="G106" i="19"/>
  <c r="F106" i="19"/>
  <c r="E106" i="19"/>
  <c r="D106" i="19"/>
  <c r="H105" i="19"/>
  <c r="G105" i="19"/>
  <c r="F105" i="19"/>
  <c r="E105" i="19"/>
  <c r="D105" i="19"/>
  <c r="H104" i="19"/>
  <c r="G104" i="19"/>
  <c r="F104" i="19"/>
  <c r="E104" i="19"/>
  <c r="D104" i="19"/>
  <c r="H103" i="19"/>
  <c r="G103" i="19"/>
  <c r="F103" i="19"/>
  <c r="E103" i="19"/>
  <c r="D103" i="19"/>
  <c r="H102" i="19"/>
  <c r="G102" i="19"/>
  <c r="F102" i="19"/>
  <c r="E102" i="19"/>
  <c r="D102" i="19"/>
  <c r="H101" i="19"/>
  <c r="G101" i="19"/>
  <c r="F101" i="19"/>
  <c r="E101" i="19"/>
  <c r="D101" i="19"/>
  <c r="H100" i="19"/>
  <c r="G100" i="19"/>
  <c r="F100" i="19"/>
  <c r="E100" i="19"/>
  <c r="D100" i="19"/>
  <c r="H99" i="19"/>
  <c r="G99" i="19"/>
  <c r="F99" i="19"/>
  <c r="E99" i="19"/>
  <c r="D99" i="19"/>
  <c r="H98" i="19"/>
  <c r="G98" i="19"/>
  <c r="F98" i="19"/>
  <c r="E98" i="19"/>
  <c r="D98" i="19"/>
  <c r="H97" i="19"/>
  <c r="G97" i="19"/>
  <c r="F97" i="19"/>
  <c r="E97" i="19"/>
  <c r="D97" i="19"/>
  <c r="H96" i="19"/>
  <c r="G96" i="19"/>
  <c r="F96" i="19"/>
  <c r="E96" i="19"/>
  <c r="D96" i="19"/>
  <c r="H95" i="19"/>
  <c r="G95" i="19"/>
  <c r="F95" i="19"/>
  <c r="E95" i="19"/>
  <c r="D95" i="19"/>
  <c r="H94" i="19"/>
  <c r="G94" i="19"/>
  <c r="F94" i="19"/>
  <c r="E94" i="19"/>
  <c r="D94" i="19"/>
  <c r="H93" i="19"/>
  <c r="G93" i="19"/>
  <c r="F93" i="19"/>
  <c r="E93" i="19"/>
  <c r="D93" i="19"/>
  <c r="H92" i="19"/>
  <c r="G92" i="19"/>
  <c r="F92" i="19"/>
  <c r="E92" i="19"/>
  <c r="D92" i="19"/>
  <c r="H91" i="19"/>
  <c r="G91" i="19"/>
  <c r="F91" i="19"/>
  <c r="E91" i="19"/>
  <c r="D91" i="19"/>
  <c r="H90" i="19"/>
  <c r="G90" i="19"/>
  <c r="F90" i="19"/>
  <c r="E90" i="19"/>
  <c r="D90" i="19"/>
  <c r="H89" i="19"/>
  <c r="G89" i="19"/>
  <c r="F89" i="19"/>
  <c r="E89" i="19"/>
  <c r="D89" i="19"/>
  <c r="H88" i="19"/>
  <c r="G88" i="19"/>
  <c r="F88" i="19"/>
  <c r="E88" i="19"/>
  <c r="D88" i="19"/>
  <c r="H87" i="19"/>
  <c r="G87" i="19"/>
  <c r="F87" i="19"/>
  <c r="E87" i="19"/>
  <c r="D87" i="19"/>
  <c r="H86" i="19"/>
  <c r="G86" i="19"/>
  <c r="F86" i="19"/>
  <c r="E86" i="19"/>
  <c r="D86" i="19"/>
  <c r="H85" i="19"/>
  <c r="G85" i="19"/>
  <c r="F85" i="19"/>
  <c r="E85" i="19"/>
  <c r="D85" i="19"/>
  <c r="H84" i="19"/>
  <c r="G84" i="19"/>
  <c r="F84" i="19"/>
  <c r="E84" i="19"/>
  <c r="D84" i="19"/>
  <c r="H83" i="19"/>
  <c r="G83" i="19"/>
  <c r="F83" i="19"/>
  <c r="E83" i="19"/>
  <c r="D83" i="19"/>
  <c r="H82" i="19"/>
  <c r="G82" i="19"/>
  <c r="F82" i="19"/>
  <c r="E82" i="19"/>
  <c r="D82" i="19"/>
  <c r="H81" i="19"/>
  <c r="G81" i="19"/>
  <c r="F81" i="19"/>
  <c r="E81" i="19"/>
  <c r="D81" i="19"/>
  <c r="H80" i="19"/>
  <c r="G80" i="19"/>
  <c r="F80" i="19"/>
  <c r="E80" i="19"/>
  <c r="D80" i="19"/>
  <c r="H79" i="19"/>
  <c r="G79" i="19"/>
  <c r="F79" i="19"/>
  <c r="E79" i="19"/>
  <c r="D79" i="19"/>
  <c r="H78" i="19"/>
  <c r="G78" i="19"/>
  <c r="F78" i="19"/>
  <c r="E78" i="19"/>
  <c r="D78" i="19"/>
  <c r="H77" i="19"/>
  <c r="G77" i="19"/>
  <c r="F77" i="19"/>
  <c r="E77" i="19"/>
  <c r="D77" i="19"/>
  <c r="H76" i="19"/>
  <c r="G76" i="19"/>
  <c r="F76" i="19"/>
  <c r="E76" i="19"/>
  <c r="D76" i="19"/>
  <c r="H75" i="19"/>
  <c r="G75" i="19"/>
  <c r="F75" i="19"/>
  <c r="E75" i="19"/>
  <c r="D75" i="19"/>
  <c r="H74" i="19"/>
  <c r="G74" i="19"/>
  <c r="F74" i="19"/>
  <c r="E74" i="19"/>
  <c r="D74" i="19"/>
  <c r="H73" i="19"/>
  <c r="G73" i="19"/>
  <c r="F73" i="19"/>
  <c r="E73" i="19"/>
  <c r="D73" i="19"/>
  <c r="H72" i="19"/>
  <c r="G72" i="19"/>
  <c r="F72" i="19"/>
  <c r="E72" i="19"/>
  <c r="D72" i="19"/>
  <c r="H51" i="19"/>
  <c r="G51" i="19"/>
  <c r="F51" i="19"/>
  <c r="E51" i="19"/>
  <c r="D51" i="19"/>
  <c r="H50" i="19"/>
  <c r="G50" i="19"/>
  <c r="F50" i="19"/>
  <c r="E50" i="19"/>
  <c r="D50" i="19"/>
  <c r="H49" i="19"/>
  <c r="G49" i="19"/>
  <c r="F49" i="19"/>
  <c r="E49" i="19"/>
  <c r="D49" i="19"/>
  <c r="H48" i="19"/>
  <c r="G48" i="19"/>
  <c r="F48" i="19"/>
  <c r="E48" i="19"/>
  <c r="D48" i="19"/>
  <c r="H47" i="19"/>
  <c r="G47" i="19"/>
  <c r="F47" i="19"/>
  <c r="E47" i="19"/>
  <c r="D47" i="19"/>
  <c r="H46" i="19"/>
  <c r="G46" i="19"/>
  <c r="F46" i="19"/>
  <c r="E46" i="19"/>
  <c r="D46" i="19"/>
  <c r="H45" i="19"/>
  <c r="G45" i="19"/>
  <c r="F45" i="19"/>
  <c r="E45" i="19"/>
  <c r="D45" i="19"/>
  <c r="H44" i="19"/>
  <c r="G44" i="19"/>
  <c r="F44" i="19"/>
  <c r="E44" i="19"/>
  <c r="D44" i="19"/>
  <c r="H43" i="19"/>
  <c r="G43" i="19"/>
  <c r="F43" i="19"/>
  <c r="E43" i="19"/>
  <c r="D43" i="19"/>
  <c r="H42" i="19"/>
  <c r="G42" i="19"/>
  <c r="F42" i="19"/>
  <c r="E42" i="19"/>
  <c r="D42" i="19"/>
  <c r="H41" i="19"/>
  <c r="G41" i="19"/>
  <c r="F41" i="19"/>
  <c r="E41" i="19"/>
  <c r="D41" i="19"/>
  <c r="H40" i="19"/>
  <c r="G40" i="19"/>
  <c r="F40" i="19"/>
  <c r="E40" i="19"/>
  <c r="D40" i="19"/>
  <c r="H39" i="19"/>
  <c r="G39" i="19"/>
  <c r="F39" i="19"/>
  <c r="E39" i="19"/>
  <c r="D39" i="19"/>
  <c r="H38" i="19"/>
  <c r="G38" i="19"/>
  <c r="F38" i="19"/>
  <c r="E38" i="19"/>
  <c r="D38" i="19"/>
  <c r="H37" i="19"/>
  <c r="G37" i="19"/>
  <c r="F37" i="19"/>
  <c r="E37" i="19"/>
  <c r="D37" i="19"/>
  <c r="H36" i="19"/>
  <c r="G36" i="19"/>
  <c r="F36" i="19"/>
  <c r="E36" i="19"/>
  <c r="D36" i="19"/>
  <c r="H35" i="19"/>
  <c r="G35" i="19"/>
  <c r="F35" i="19"/>
  <c r="E35" i="19"/>
  <c r="D35" i="19"/>
  <c r="H34" i="19"/>
  <c r="G34" i="19"/>
  <c r="F34" i="19"/>
  <c r="E34" i="19"/>
  <c r="D34" i="19"/>
  <c r="H33" i="19"/>
  <c r="G33" i="19"/>
  <c r="F33" i="19"/>
  <c r="E33" i="19"/>
  <c r="D33" i="19"/>
  <c r="H32" i="19"/>
  <c r="G32" i="19"/>
  <c r="F32" i="19"/>
  <c r="E32" i="19"/>
  <c r="D32" i="19"/>
  <c r="H31" i="19"/>
  <c r="G31" i="19"/>
  <c r="F31" i="19"/>
  <c r="E31" i="19"/>
  <c r="D31" i="19"/>
  <c r="H30" i="19"/>
  <c r="G30" i="19"/>
  <c r="F30" i="19"/>
  <c r="E30" i="19"/>
  <c r="D30" i="19"/>
  <c r="H29" i="19"/>
  <c r="G29" i="19"/>
  <c r="F29" i="19"/>
  <c r="E29" i="19"/>
  <c r="D29" i="19"/>
  <c r="H28" i="19"/>
  <c r="G28" i="19"/>
  <c r="F28" i="19"/>
  <c r="E28" i="19"/>
  <c r="D28" i="19"/>
  <c r="H27" i="19"/>
  <c r="G27" i="19"/>
  <c r="F27" i="19"/>
  <c r="E27" i="19"/>
  <c r="D27" i="19"/>
  <c r="H26" i="19"/>
  <c r="G26" i="19"/>
  <c r="F26" i="19"/>
  <c r="E26" i="19"/>
  <c r="D26" i="19"/>
  <c r="H25" i="19"/>
  <c r="G25" i="19"/>
  <c r="F25" i="19"/>
  <c r="E25" i="19"/>
  <c r="D25" i="19"/>
  <c r="H24" i="19"/>
  <c r="G24" i="19"/>
  <c r="F24" i="19"/>
  <c r="E24" i="19"/>
  <c r="D24" i="19"/>
  <c r="H23" i="19"/>
  <c r="G23" i="19"/>
  <c r="F23" i="19"/>
  <c r="E23" i="19"/>
  <c r="D23" i="19"/>
  <c r="H22" i="19"/>
  <c r="G22" i="19"/>
  <c r="F22" i="19"/>
  <c r="E22" i="19"/>
  <c r="D22" i="19"/>
  <c r="H21" i="19"/>
  <c r="G21" i="19"/>
  <c r="F21" i="19"/>
  <c r="E21" i="19"/>
  <c r="D21" i="19"/>
  <c r="H20" i="19"/>
  <c r="G20" i="19"/>
  <c r="F20" i="19"/>
  <c r="E20" i="19"/>
  <c r="D20" i="19"/>
  <c r="H19" i="19"/>
  <c r="G19" i="19"/>
  <c r="F19" i="19"/>
  <c r="E19" i="19"/>
  <c r="D19" i="19"/>
  <c r="H18" i="19"/>
  <c r="G18" i="19"/>
  <c r="F18" i="19"/>
  <c r="E18" i="19"/>
  <c r="D18" i="19"/>
  <c r="H17" i="19"/>
  <c r="G17" i="19"/>
  <c r="F17" i="19"/>
  <c r="E17" i="19"/>
  <c r="D17" i="19"/>
  <c r="H16" i="19"/>
  <c r="G16" i="19"/>
  <c r="F16" i="19"/>
  <c r="E16" i="19"/>
  <c r="D16" i="19"/>
  <c r="H15" i="19"/>
  <c r="G15" i="19"/>
  <c r="F15" i="19"/>
  <c r="E15" i="19"/>
  <c r="D15" i="19"/>
  <c r="H14" i="19"/>
  <c r="G14" i="19"/>
  <c r="F14" i="19"/>
  <c r="E14" i="19"/>
  <c r="D14" i="19"/>
  <c r="H13" i="19"/>
  <c r="G13" i="19"/>
  <c r="F13" i="19"/>
  <c r="E13" i="19"/>
  <c r="D13" i="19"/>
  <c r="H12" i="19"/>
  <c r="G12" i="19"/>
  <c r="F12" i="19"/>
  <c r="E12" i="19"/>
  <c r="D12" i="19"/>
  <c r="H11" i="19"/>
  <c r="G11" i="19"/>
  <c r="F11" i="19"/>
  <c r="E11" i="19"/>
  <c r="D11" i="19"/>
  <c r="H10" i="19"/>
  <c r="G10" i="19"/>
  <c r="F10" i="19"/>
  <c r="E10" i="19"/>
  <c r="D10" i="19"/>
  <c r="H9" i="19"/>
  <c r="G9" i="19"/>
  <c r="F9" i="19"/>
  <c r="E9" i="19"/>
  <c r="D9" i="19"/>
  <c r="H8" i="19"/>
  <c r="G8" i="19"/>
  <c r="F8" i="19"/>
  <c r="E8" i="19"/>
  <c r="D8" i="19"/>
  <c r="H7" i="19"/>
  <c r="G7" i="19"/>
  <c r="F7" i="19"/>
  <c r="E7" i="19"/>
  <c r="D7" i="19"/>
  <c r="H6" i="19"/>
  <c r="G6" i="19"/>
  <c r="F6" i="19"/>
  <c r="E6" i="19"/>
  <c r="D6" i="19"/>
  <c r="H5" i="19"/>
  <c r="G5" i="19"/>
  <c r="F5" i="19"/>
  <c r="E5" i="19"/>
  <c r="D5" i="19"/>
  <c r="B5" i="19"/>
  <c r="H4" i="19"/>
  <c r="G4" i="19"/>
  <c r="F4" i="19"/>
  <c r="E4" i="19"/>
  <c r="D4" i="19"/>
  <c r="H3" i="19"/>
  <c r="G3" i="19"/>
  <c r="F3" i="19"/>
  <c r="E3" i="19"/>
  <c r="D3" i="19"/>
  <c r="H2" i="19"/>
  <c r="G2" i="19"/>
  <c r="F2" i="19"/>
  <c r="E2" i="19"/>
  <c r="D2" i="19"/>
  <c r="B2" i="19"/>
  <c r="F275" i="18"/>
  <c r="E275" i="18"/>
  <c r="D275" i="18"/>
  <c r="C275" i="18"/>
  <c r="B275" i="18"/>
  <c r="A275" i="18"/>
  <c r="F274" i="18"/>
  <c r="E274" i="18"/>
  <c r="D274" i="18"/>
  <c r="C274" i="18"/>
  <c r="B274" i="18"/>
  <c r="A274" i="18"/>
  <c r="F273" i="18"/>
  <c r="E273" i="18"/>
  <c r="D273" i="18"/>
  <c r="C273" i="18"/>
  <c r="B273" i="18"/>
  <c r="A273" i="18"/>
  <c r="F272" i="18"/>
  <c r="E272" i="18"/>
  <c r="D272" i="18"/>
  <c r="C272" i="18"/>
  <c r="B272" i="18"/>
  <c r="A272" i="18"/>
  <c r="F271" i="18"/>
  <c r="E271" i="18"/>
  <c r="D271" i="18"/>
  <c r="C271" i="18"/>
  <c r="B271" i="18"/>
  <c r="A271" i="18"/>
  <c r="F270" i="18"/>
  <c r="E270" i="18"/>
  <c r="D270" i="18"/>
  <c r="C270" i="18"/>
  <c r="B270" i="18"/>
  <c r="A270" i="18"/>
  <c r="F269" i="18"/>
  <c r="E269" i="18"/>
  <c r="D269" i="18"/>
  <c r="C269" i="18"/>
  <c r="B269" i="18"/>
  <c r="A269" i="18"/>
  <c r="F268" i="18"/>
  <c r="E268" i="18"/>
  <c r="D268" i="18"/>
  <c r="C268" i="18"/>
  <c r="B268" i="18"/>
  <c r="A268" i="18"/>
  <c r="F267" i="18"/>
  <c r="E267" i="18"/>
  <c r="D267" i="18"/>
  <c r="C267" i="18"/>
  <c r="B267" i="18"/>
  <c r="A267" i="18"/>
  <c r="F266" i="18"/>
  <c r="E266" i="18"/>
  <c r="D266" i="18"/>
  <c r="C266" i="18"/>
  <c r="B266" i="18"/>
  <c r="A266" i="18"/>
  <c r="F265" i="18"/>
  <c r="E265" i="18"/>
  <c r="D265" i="18"/>
  <c r="C265" i="18"/>
  <c r="B265" i="18"/>
  <c r="A265" i="18"/>
  <c r="F264" i="18"/>
  <c r="E264" i="18"/>
  <c r="D264" i="18"/>
  <c r="C264" i="18"/>
  <c r="B264" i="18"/>
  <c r="A264" i="18"/>
  <c r="F263" i="18"/>
  <c r="E263" i="18"/>
  <c r="D263" i="18"/>
  <c r="C263" i="18"/>
  <c r="B263" i="18"/>
  <c r="A263" i="18"/>
  <c r="F262" i="18"/>
  <c r="E262" i="18"/>
  <c r="D262" i="18"/>
  <c r="C262" i="18"/>
  <c r="B262" i="18"/>
  <c r="A262" i="18"/>
  <c r="F261" i="18"/>
  <c r="E261" i="18"/>
  <c r="D261" i="18"/>
  <c r="C261" i="18"/>
  <c r="B261" i="18"/>
  <c r="A261" i="18"/>
  <c r="F260" i="18"/>
  <c r="E260" i="18"/>
  <c r="D260" i="18"/>
  <c r="C260" i="18"/>
  <c r="B260" i="18"/>
  <c r="A260" i="18"/>
  <c r="F259" i="18"/>
  <c r="E259" i="18"/>
  <c r="D259" i="18"/>
  <c r="C259" i="18"/>
  <c r="B259" i="18"/>
  <c r="A259" i="18"/>
  <c r="F258" i="18"/>
  <c r="E258" i="18"/>
  <c r="D258" i="18"/>
  <c r="C258" i="18"/>
  <c r="B258" i="18"/>
  <c r="A258" i="18"/>
  <c r="F257" i="18"/>
  <c r="E257" i="18"/>
  <c r="D257" i="18"/>
  <c r="C257" i="18"/>
  <c r="B257" i="18"/>
  <c r="A257" i="18"/>
  <c r="F256" i="18"/>
  <c r="E256" i="18"/>
  <c r="D256" i="18"/>
  <c r="C256" i="18"/>
  <c r="B256" i="18"/>
  <c r="A256" i="18"/>
  <c r="F255" i="18"/>
  <c r="E255" i="18"/>
  <c r="D255" i="18"/>
  <c r="C255" i="18"/>
  <c r="B255" i="18"/>
  <c r="A255" i="18"/>
  <c r="F254" i="18"/>
  <c r="E254" i="18"/>
  <c r="D254" i="18"/>
  <c r="C254" i="18"/>
  <c r="B254" i="18"/>
  <c r="A254" i="18"/>
  <c r="F253" i="18"/>
  <c r="E253" i="18"/>
  <c r="D253" i="18"/>
  <c r="C253" i="18"/>
  <c r="B253" i="18"/>
  <c r="A253" i="18"/>
  <c r="F252" i="18"/>
  <c r="E252" i="18"/>
  <c r="D252" i="18"/>
  <c r="C252" i="18"/>
  <c r="B252" i="18"/>
  <c r="A252" i="18"/>
  <c r="F251" i="18"/>
  <c r="E251" i="18"/>
  <c r="D251" i="18"/>
  <c r="C251" i="18"/>
  <c r="B251" i="18"/>
  <c r="A251" i="18"/>
  <c r="F250" i="18"/>
  <c r="E250" i="18"/>
  <c r="D250" i="18"/>
  <c r="C250" i="18"/>
  <c r="B250" i="18"/>
  <c r="A250" i="18"/>
  <c r="F249" i="18"/>
  <c r="E249" i="18"/>
  <c r="D249" i="18"/>
  <c r="C249" i="18"/>
  <c r="B249" i="18"/>
  <c r="A249" i="18"/>
  <c r="F248" i="18"/>
  <c r="E248" i="18"/>
  <c r="D248" i="18"/>
  <c r="C248" i="18"/>
  <c r="B248" i="18"/>
  <c r="A248" i="18"/>
  <c r="F247" i="18"/>
  <c r="E247" i="18"/>
  <c r="D247" i="18"/>
  <c r="C247" i="18"/>
  <c r="B247" i="18"/>
  <c r="A247" i="18"/>
  <c r="F246" i="18"/>
  <c r="E246" i="18"/>
  <c r="D246" i="18"/>
  <c r="C246" i="18"/>
  <c r="B246" i="18"/>
  <c r="A246" i="18"/>
  <c r="F245" i="18"/>
  <c r="E245" i="18"/>
  <c r="D245" i="18"/>
  <c r="C245" i="18"/>
  <c r="B245" i="18"/>
  <c r="A245" i="18"/>
  <c r="F244" i="18"/>
  <c r="E244" i="18"/>
  <c r="D244" i="18"/>
  <c r="C244" i="18"/>
  <c r="B244" i="18"/>
  <c r="A244" i="18"/>
  <c r="F243" i="18"/>
  <c r="E243" i="18"/>
  <c r="D243" i="18"/>
  <c r="C243" i="18"/>
  <c r="B243" i="18"/>
  <c r="A243" i="18"/>
  <c r="F242" i="18"/>
  <c r="E242" i="18"/>
  <c r="D242" i="18"/>
  <c r="C242" i="18"/>
  <c r="B242" i="18"/>
  <c r="A242" i="18"/>
  <c r="F241" i="18"/>
  <c r="E241" i="18"/>
  <c r="D241" i="18"/>
  <c r="C241" i="18"/>
  <c r="B241" i="18"/>
  <c r="A241" i="18"/>
  <c r="F240" i="18"/>
  <c r="E240" i="18"/>
  <c r="D240" i="18"/>
  <c r="C240" i="18"/>
  <c r="B240" i="18"/>
  <c r="A240" i="18"/>
  <c r="F239" i="18"/>
  <c r="E239" i="18"/>
  <c r="D239" i="18"/>
  <c r="C239" i="18"/>
  <c r="B239" i="18"/>
  <c r="A239" i="18"/>
  <c r="F238" i="18"/>
  <c r="E238" i="18"/>
  <c r="D238" i="18"/>
  <c r="C238" i="18"/>
  <c r="B238" i="18"/>
  <c r="A238" i="18"/>
  <c r="F237" i="18"/>
  <c r="E237" i="18"/>
  <c r="D237" i="18"/>
  <c r="C237" i="18"/>
  <c r="B237" i="18"/>
  <c r="A237" i="18"/>
  <c r="F236" i="18"/>
  <c r="E236" i="18"/>
  <c r="D236" i="18"/>
  <c r="C236" i="18"/>
  <c r="B236" i="18"/>
  <c r="A236" i="18"/>
  <c r="F235" i="18"/>
  <c r="E235" i="18"/>
  <c r="D235" i="18"/>
  <c r="C235" i="18"/>
  <c r="B235" i="18"/>
  <c r="A235" i="18"/>
  <c r="F234" i="18"/>
  <c r="E234" i="18"/>
  <c r="D234" i="18"/>
  <c r="C234" i="18"/>
  <c r="B234" i="18"/>
  <c r="A234" i="18"/>
  <c r="F233" i="18"/>
  <c r="E233" i="18"/>
  <c r="D233" i="18"/>
  <c r="C233" i="18"/>
  <c r="B233" i="18"/>
  <c r="A233" i="18"/>
  <c r="F232" i="18"/>
  <c r="E232" i="18"/>
  <c r="D232" i="18"/>
  <c r="C232" i="18"/>
  <c r="B232" i="18"/>
  <c r="A232" i="18"/>
  <c r="F231" i="18"/>
  <c r="E231" i="18"/>
  <c r="D231" i="18"/>
  <c r="C231" i="18"/>
  <c r="B231" i="18"/>
  <c r="A231" i="18"/>
  <c r="F230" i="18"/>
  <c r="E230" i="18"/>
  <c r="D230" i="18"/>
  <c r="C230" i="18"/>
  <c r="B230" i="18"/>
  <c r="A230" i="18"/>
  <c r="F229" i="18"/>
  <c r="E229" i="18"/>
  <c r="D229" i="18"/>
  <c r="C229" i="18"/>
  <c r="B229" i="18"/>
  <c r="A229" i="18"/>
  <c r="F228" i="18"/>
  <c r="E228" i="18"/>
  <c r="D228" i="18"/>
  <c r="C228" i="18"/>
  <c r="B228" i="18"/>
  <c r="A228" i="18"/>
  <c r="F227" i="18"/>
  <c r="E227" i="18"/>
  <c r="D227" i="18"/>
  <c r="C227" i="18"/>
  <c r="B227" i="18"/>
  <c r="A227" i="18"/>
  <c r="F226" i="18"/>
  <c r="E226" i="18"/>
  <c r="D226" i="18"/>
  <c r="C226" i="18"/>
  <c r="B226" i="18"/>
  <c r="A226" i="18"/>
  <c r="F225" i="18"/>
  <c r="E225" i="18"/>
  <c r="D225" i="18"/>
  <c r="C225" i="18"/>
  <c r="B225" i="18"/>
  <c r="A225" i="18"/>
  <c r="F224" i="18"/>
  <c r="E224" i="18"/>
  <c r="D224" i="18"/>
  <c r="C224" i="18"/>
  <c r="B224" i="18"/>
  <c r="A224" i="18"/>
  <c r="F223" i="18"/>
  <c r="E223" i="18"/>
  <c r="D223" i="18"/>
  <c r="C223" i="18"/>
  <c r="B223" i="18"/>
  <c r="A223" i="18"/>
  <c r="G222" i="18"/>
  <c r="F222" i="18"/>
  <c r="E222" i="18"/>
  <c r="D222" i="18"/>
  <c r="C222" i="18"/>
  <c r="B222" i="18"/>
  <c r="A222" i="18"/>
  <c r="G221" i="18"/>
  <c r="F221" i="18"/>
  <c r="E221" i="18"/>
  <c r="D221" i="18"/>
  <c r="C221" i="18"/>
  <c r="B221" i="18"/>
  <c r="A221" i="18"/>
  <c r="G220" i="18"/>
  <c r="F220" i="18"/>
  <c r="E220" i="18"/>
  <c r="D220" i="18"/>
  <c r="C220" i="18"/>
  <c r="B220" i="18"/>
  <c r="A220" i="18"/>
  <c r="G219" i="18"/>
  <c r="F219" i="18"/>
  <c r="E219" i="18"/>
  <c r="D219" i="18"/>
  <c r="C219" i="18"/>
  <c r="B219" i="18"/>
  <c r="A219" i="18"/>
  <c r="G218" i="18"/>
  <c r="F218" i="18"/>
  <c r="E218" i="18"/>
  <c r="D218" i="18"/>
  <c r="C218" i="18"/>
  <c r="B218" i="18"/>
  <c r="A218" i="18"/>
  <c r="G217" i="18"/>
  <c r="F217" i="18"/>
  <c r="E217" i="18"/>
  <c r="D217" i="18"/>
  <c r="C217" i="18"/>
  <c r="B217" i="18"/>
  <c r="A217" i="18"/>
  <c r="G216" i="18"/>
  <c r="F216" i="18"/>
  <c r="E216" i="18"/>
  <c r="D216" i="18"/>
  <c r="C216" i="18"/>
  <c r="B216" i="18"/>
  <c r="A216" i="18"/>
  <c r="G215" i="18"/>
  <c r="F215" i="18"/>
  <c r="E215" i="18"/>
  <c r="D215" i="18"/>
  <c r="C215" i="18"/>
  <c r="B215" i="18"/>
  <c r="A215" i="18"/>
  <c r="G214" i="18"/>
  <c r="F214" i="18"/>
  <c r="E214" i="18"/>
  <c r="D214" i="18"/>
  <c r="C214" i="18"/>
  <c r="B214" i="18"/>
  <c r="A214" i="18"/>
  <c r="G213" i="18"/>
  <c r="F213" i="18"/>
  <c r="E213" i="18"/>
  <c r="D213" i="18"/>
  <c r="C213" i="18"/>
  <c r="B213" i="18"/>
  <c r="A213" i="18"/>
  <c r="G212" i="18"/>
  <c r="F212" i="18"/>
  <c r="E212" i="18"/>
  <c r="D212" i="18"/>
  <c r="C212" i="18"/>
  <c r="B212" i="18"/>
  <c r="A212" i="18"/>
  <c r="F211" i="18"/>
  <c r="E211" i="18"/>
  <c r="D211" i="18"/>
  <c r="C211" i="18"/>
  <c r="B211" i="18"/>
  <c r="A211" i="18"/>
  <c r="F210" i="18"/>
  <c r="E210" i="18"/>
  <c r="D210" i="18"/>
  <c r="C210" i="18"/>
  <c r="B210" i="18"/>
  <c r="A210" i="18"/>
  <c r="F209" i="18"/>
  <c r="E209" i="18"/>
  <c r="D209" i="18"/>
  <c r="C209" i="18"/>
  <c r="B209" i="18"/>
  <c r="A209" i="18"/>
  <c r="F208" i="18"/>
  <c r="E208" i="18"/>
  <c r="D208" i="18"/>
  <c r="C208" i="18"/>
  <c r="B208" i="18"/>
  <c r="A208" i="18"/>
  <c r="F207" i="18"/>
  <c r="E207" i="18"/>
  <c r="D207" i="18"/>
  <c r="C207" i="18"/>
  <c r="B207" i="18"/>
  <c r="A207" i="18"/>
  <c r="F206" i="18"/>
  <c r="E206" i="18"/>
  <c r="D206" i="18"/>
  <c r="C206" i="18"/>
  <c r="B206" i="18"/>
  <c r="A206" i="18"/>
  <c r="F205" i="18"/>
  <c r="E205" i="18"/>
  <c r="D205" i="18"/>
  <c r="C205" i="18"/>
  <c r="B205" i="18"/>
  <c r="A205" i="18"/>
  <c r="F204" i="18"/>
  <c r="E204" i="18"/>
  <c r="D204" i="18"/>
  <c r="C204" i="18"/>
  <c r="B204" i="18"/>
  <c r="A204" i="18"/>
  <c r="F203" i="18"/>
  <c r="E203" i="18"/>
  <c r="D203" i="18"/>
  <c r="C203" i="18"/>
  <c r="B203" i="18"/>
  <c r="A203" i="18"/>
  <c r="F202" i="18"/>
  <c r="E202" i="18"/>
  <c r="D202" i="18"/>
  <c r="C202" i="18"/>
  <c r="B202" i="18"/>
  <c r="A202" i="18"/>
  <c r="F201" i="18"/>
  <c r="E201" i="18"/>
  <c r="D201" i="18"/>
  <c r="C201" i="18"/>
  <c r="B201" i="18"/>
  <c r="A201" i="18"/>
  <c r="F200" i="18"/>
  <c r="E200" i="18"/>
  <c r="D200" i="18"/>
  <c r="C200" i="18"/>
  <c r="B200" i="18"/>
  <c r="A200" i="18"/>
  <c r="F199" i="18"/>
  <c r="E199" i="18"/>
  <c r="D199" i="18"/>
  <c r="C199" i="18"/>
  <c r="B199" i="18"/>
  <c r="A199" i="18"/>
  <c r="F198" i="18"/>
  <c r="E198" i="18"/>
  <c r="D198" i="18"/>
  <c r="C198" i="18"/>
  <c r="B198" i="18"/>
  <c r="A198" i="18"/>
  <c r="F197" i="18"/>
  <c r="E197" i="18"/>
  <c r="D197" i="18"/>
  <c r="C197" i="18"/>
  <c r="B197" i="18"/>
  <c r="A197" i="18"/>
  <c r="F196" i="18"/>
  <c r="E196" i="18"/>
  <c r="D196" i="18"/>
  <c r="C196" i="18"/>
  <c r="B196" i="18"/>
  <c r="A196" i="18"/>
  <c r="F195" i="18"/>
  <c r="E195" i="18"/>
  <c r="D195" i="18"/>
  <c r="C195" i="18"/>
  <c r="B195" i="18"/>
  <c r="A195" i="18"/>
  <c r="F194" i="18"/>
  <c r="E194" i="18"/>
  <c r="D194" i="18"/>
  <c r="C194" i="18"/>
  <c r="B194" i="18"/>
  <c r="A194" i="18"/>
  <c r="F193" i="18"/>
  <c r="E193" i="18"/>
  <c r="D193" i="18"/>
  <c r="C193" i="18"/>
  <c r="B193" i="18"/>
  <c r="A193" i="18"/>
  <c r="F192" i="18"/>
  <c r="E192" i="18"/>
  <c r="D192" i="18"/>
  <c r="C192" i="18"/>
  <c r="B192" i="18"/>
  <c r="A192" i="18"/>
  <c r="F191" i="18"/>
  <c r="E191" i="18"/>
  <c r="D191" i="18"/>
  <c r="C191" i="18"/>
  <c r="B191" i="18"/>
  <c r="A191" i="18"/>
  <c r="G190" i="18"/>
  <c r="F190" i="18"/>
  <c r="E190" i="18"/>
  <c r="D190" i="18"/>
  <c r="C190" i="18"/>
  <c r="B190" i="18"/>
  <c r="A190" i="18"/>
  <c r="G189" i="18"/>
  <c r="F189" i="18"/>
  <c r="E189" i="18"/>
  <c r="D189" i="18"/>
  <c r="C189" i="18"/>
  <c r="B189" i="18"/>
  <c r="A189" i="18"/>
  <c r="G188" i="18"/>
  <c r="F188" i="18"/>
  <c r="E188" i="18"/>
  <c r="D188" i="18"/>
  <c r="C188" i="18"/>
  <c r="B188" i="18"/>
  <c r="A188" i="18"/>
  <c r="F187" i="18"/>
  <c r="E187" i="18"/>
  <c r="D187" i="18"/>
  <c r="C187" i="18"/>
  <c r="B187" i="18"/>
  <c r="A187" i="18"/>
  <c r="F186" i="18"/>
  <c r="E186" i="18"/>
  <c r="D186" i="18"/>
  <c r="C186" i="18"/>
  <c r="B186" i="18"/>
  <c r="A186" i="18"/>
  <c r="F185" i="18"/>
  <c r="E185" i="18"/>
  <c r="D185" i="18"/>
  <c r="C185" i="18"/>
  <c r="B185" i="18"/>
  <c r="A185" i="18"/>
  <c r="F184" i="18"/>
  <c r="E184" i="18"/>
  <c r="D184" i="18"/>
  <c r="C184" i="18"/>
  <c r="B184" i="18"/>
  <c r="A184" i="18"/>
  <c r="F183" i="18"/>
  <c r="E183" i="18"/>
  <c r="D183" i="18"/>
  <c r="C183" i="18"/>
  <c r="B183" i="18"/>
  <c r="A183" i="18"/>
  <c r="F182" i="18"/>
  <c r="E182" i="18"/>
  <c r="D182" i="18"/>
  <c r="C182" i="18"/>
  <c r="B182" i="18"/>
  <c r="A182" i="18"/>
  <c r="F181" i="18"/>
  <c r="E181" i="18"/>
  <c r="D181" i="18"/>
  <c r="C181" i="18"/>
  <c r="B181" i="18"/>
  <c r="A181" i="18"/>
  <c r="F180" i="18"/>
  <c r="E180" i="18"/>
  <c r="D180" i="18"/>
  <c r="C180" i="18"/>
  <c r="B180" i="18"/>
  <c r="A180" i="18"/>
  <c r="F179" i="18"/>
  <c r="E179" i="18"/>
  <c r="D179" i="18"/>
  <c r="C179" i="18"/>
  <c r="B179" i="18"/>
  <c r="A179" i="18"/>
  <c r="F178" i="18"/>
  <c r="E178" i="18"/>
  <c r="D178" i="18"/>
  <c r="C178" i="18"/>
  <c r="B178" i="18"/>
  <c r="A178" i="18"/>
  <c r="F177" i="18"/>
  <c r="E177" i="18"/>
  <c r="D177" i="18"/>
  <c r="C177" i="18"/>
  <c r="B177" i="18"/>
  <c r="A177" i="18"/>
  <c r="F176" i="18"/>
  <c r="E176" i="18"/>
  <c r="D176" i="18"/>
  <c r="C176" i="18"/>
  <c r="B176" i="18"/>
  <c r="A176" i="18"/>
  <c r="G175" i="18"/>
  <c r="F175" i="18"/>
  <c r="E175" i="18"/>
  <c r="D175" i="18"/>
  <c r="C175" i="18"/>
  <c r="B175" i="18"/>
  <c r="A175" i="18"/>
  <c r="G174" i="18"/>
  <c r="F174" i="18"/>
  <c r="E174" i="18"/>
  <c r="D174" i="18"/>
  <c r="C174" i="18"/>
  <c r="B174" i="18"/>
  <c r="A174" i="18"/>
  <c r="F173" i="18"/>
  <c r="E173" i="18"/>
  <c r="D173" i="18"/>
  <c r="C173" i="18"/>
  <c r="B173" i="18"/>
  <c r="A173" i="18"/>
  <c r="F172" i="18"/>
  <c r="E172" i="18"/>
  <c r="D172" i="18"/>
  <c r="C172" i="18"/>
  <c r="B172" i="18"/>
  <c r="A172" i="18"/>
  <c r="F171" i="18"/>
  <c r="E171" i="18"/>
  <c r="D171" i="18"/>
  <c r="C171" i="18"/>
  <c r="B171" i="18"/>
  <c r="A171" i="18"/>
  <c r="F170" i="18"/>
  <c r="E170" i="18"/>
  <c r="D170" i="18"/>
  <c r="C170" i="18"/>
  <c r="B170" i="18"/>
  <c r="A170" i="18"/>
  <c r="F169" i="18"/>
  <c r="E169" i="18"/>
  <c r="D169" i="18"/>
  <c r="C169" i="18"/>
  <c r="B169" i="18"/>
  <c r="A169" i="18"/>
  <c r="F168" i="18"/>
  <c r="E168" i="18"/>
  <c r="D168" i="18"/>
  <c r="C168" i="18"/>
  <c r="B168" i="18"/>
  <c r="A168" i="18"/>
  <c r="F167" i="18"/>
  <c r="E167" i="18"/>
  <c r="D167" i="18"/>
  <c r="C167" i="18"/>
  <c r="B167" i="18"/>
  <c r="A167" i="18"/>
  <c r="F166" i="18"/>
  <c r="E166" i="18"/>
  <c r="D166" i="18"/>
  <c r="C166" i="18"/>
  <c r="B166" i="18"/>
  <c r="A166" i="18"/>
  <c r="F165" i="18"/>
  <c r="E165" i="18"/>
  <c r="D165" i="18"/>
  <c r="C165" i="18"/>
  <c r="B165" i="18"/>
  <c r="A165" i="18"/>
  <c r="F164" i="18"/>
  <c r="E164" i="18"/>
  <c r="D164" i="18"/>
  <c r="C164" i="18"/>
  <c r="B164" i="18"/>
  <c r="A164" i="18"/>
  <c r="F163" i="18"/>
  <c r="E163" i="18"/>
  <c r="D163" i="18"/>
  <c r="C163" i="18"/>
  <c r="B163" i="18"/>
  <c r="A163" i="18"/>
  <c r="F162" i="18"/>
  <c r="E162" i="18"/>
  <c r="D162" i="18"/>
  <c r="C162" i="18"/>
  <c r="B162" i="18"/>
  <c r="A162" i="18"/>
  <c r="F161" i="18"/>
  <c r="E161" i="18"/>
  <c r="D161" i="18"/>
  <c r="C161" i="18"/>
  <c r="B161" i="18"/>
  <c r="A161" i="18"/>
  <c r="F160" i="18"/>
  <c r="E160" i="18"/>
  <c r="D160" i="18"/>
  <c r="C160" i="18"/>
  <c r="B160" i="18"/>
  <c r="A160" i="18"/>
  <c r="F159" i="18"/>
  <c r="E159" i="18"/>
  <c r="D159" i="18"/>
  <c r="C159" i="18"/>
  <c r="B159" i="18"/>
  <c r="A159" i="18"/>
  <c r="F158" i="18"/>
  <c r="E158" i="18"/>
  <c r="D158" i="18"/>
  <c r="C158" i="18"/>
  <c r="B158" i="18"/>
  <c r="A158" i="18"/>
  <c r="F157" i="18"/>
  <c r="E157" i="18"/>
  <c r="D157" i="18"/>
  <c r="C157" i="18"/>
  <c r="B157" i="18"/>
  <c r="A157" i="18"/>
  <c r="F156" i="18"/>
  <c r="E156" i="18"/>
  <c r="D156" i="18"/>
  <c r="C156" i="18"/>
  <c r="B156" i="18"/>
  <c r="A156" i="18"/>
  <c r="F155" i="18"/>
  <c r="E155" i="18"/>
  <c r="D155" i="18"/>
  <c r="C155" i="18"/>
  <c r="B155" i="18"/>
  <c r="A155" i="18"/>
  <c r="F154" i="18"/>
  <c r="E154" i="18"/>
  <c r="D154" i="18"/>
  <c r="C154" i="18"/>
  <c r="B154" i="18"/>
  <c r="A154" i="18"/>
  <c r="F153" i="18"/>
  <c r="E153" i="18"/>
  <c r="D153" i="18"/>
  <c r="C153" i="18"/>
  <c r="B153" i="18"/>
  <c r="A153" i="18"/>
  <c r="F152" i="18"/>
  <c r="E152" i="18"/>
  <c r="D152" i="18"/>
  <c r="C152" i="18"/>
  <c r="B152" i="18"/>
  <c r="A152" i="18"/>
  <c r="F151" i="18"/>
  <c r="E151" i="18"/>
  <c r="D151" i="18"/>
  <c r="C151" i="18"/>
  <c r="B151" i="18"/>
  <c r="A151" i="18"/>
  <c r="F150" i="18"/>
  <c r="E150" i="18"/>
  <c r="D150" i="18"/>
  <c r="C150" i="18"/>
  <c r="B150" i="18"/>
  <c r="A150" i="18"/>
  <c r="F149" i="18"/>
  <c r="E149" i="18"/>
  <c r="D149" i="18"/>
  <c r="C149" i="18"/>
  <c r="B149" i="18"/>
  <c r="A149" i="18"/>
  <c r="F148" i="18"/>
  <c r="E148" i="18"/>
  <c r="D148" i="18"/>
  <c r="C148" i="18"/>
  <c r="B148" i="18"/>
  <c r="A148" i="18"/>
  <c r="F147" i="18"/>
  <c r="E147" i="18"/>
  <c r="D147" i="18"/>
  <c r="C147" i="18"/>
  <c r="B147" i="18"/>
  <c r="A147" i="18"/>
  <c r="F146" i="18"/>
  <c r="E146" i="18"/>
  <c r="D146" i="18"/>
  <c r="C146" i="18"/>
  <c r="B146" i="18"/>
  <c r="A146" i="18"/>
  <c r="F145" i="18"/>
  <c r="E145" i="18"/>
  <c r="D145" i="18"/>
  <c r="C145" i="18"/>
  <c r="B145" i="18"/>
  <c r="A145" i="18"/>
  <c r="F144" i="18"/>
  <c r="E144" i="18"/>
  <c r="D144" i="18"/>
  <c r="C144" i="18"/>
  <c r="B144" i="18"/>
  <c r="A144" i="18"/>
  <c r="F143" i="18"/>
  <c r="E143" i="18"/>
  <c r="D143" i="18"/>
  <c r="C143" i="18"/>
  <c r="B143" i="18"/>
  <c r="A143" i="18"/>
  <c r="F142" i="18"/>
  <c r="E142" i="18"/>
  <c r="D142" i="18"/>
  <c r="C142" i="18"/>
  <c r="B142" i="18"/>
  <c r="A142" i="18"/>
  <c r="F141" i="18"/>
  <c r="E141" i="18"/>
  <c r="D141" i="18"/>
  <c r="C141" i="18"/>
  <c r="B141" i="18"/>
  <c r="A141" i="18"/>
  <c r="F140" i="18"/>
  <c r="E140" i="18"/>
  <c r="D140" i="18"/>
  <c r="C140" i="18"/>
  <c r="B140" i="18"/>
  <c r="A140" i="18"/>
  <c r="F139" i="18"/>
  <c r="E139" i="18"/>
  <c r="D139" i="18"/>
  <c r="C139" i="18"/>
  <c r="B139" i="18"/>
  <c r="A139" i="18"/>
  <c r="F138" i="18"/>
  <c r="E138" i="18"/>
  <c r="D138" i="18"/>
  <c r="C138" i="18"/>
  <c r="B138" i="18"/>
  <c r="A138" i="18"/>
  <c r="F137" i="18"/>
  <c r="E137" i="18"/>
  <c r="D137" i="18"/>
  <c r="C137" i="18"/>
  <c r="B137" i="18"/>
  <c r="A137" i="18"/>
  <c r="F136" i="18"/>
  <c r="E136" i="18"/>
  <c r="D136" i="18"/>
  <c r="C136" i="18"/>
  <c r="B136" i="18"/>
  <c r="A136" i="18"/>
  <c r="F135" i="18"/>
  <c r="E135" i="18"/>
  <c r="D135" i="18"/>
  <c r="C135" i="18"/>
  <c r="B135" i="18"/>
  <c r="A135" i="18"/>
  <c r="F134" i="18"/>
  <c r="E134" i="18"/>
  <c r="D134" i="18"/>
  <c r="C134" i="18"/>
  <c r="B134" i="18"/>
  <c r="A134" i="18"/>
  <c r="F133" i="18"/>
  <c r="E133" i="18"/>
  <c r="D133" i="18"/>
  <c r="C133" i="18"/>
  <c r="B133" i="18"/>
  <c r="A133" i="18"/>
  <c r="F132" i="18"/>
  <c r="E132" i="18"/>
  <c r="D132" i="18"/>
  <c r="C132" i="18"/>
  <c r="B132" i="18"/>
  <c r="A132" i="18"/>
  <c r="F131" i="18"/>
  <c r="E131" i="18"/>
  <c r="D131" i="18"/>
  <c r="C131" i="18"/>
  <c r="B131" i="18"/>
  <c r="A131" i="18"/>
  <c r="F130" i="18"/>
  <c r="E130" i="18"/>
  <c r="D130" i="18"/>
  <c r="C130" i="18"/>
  <c r="B130" i="18"/>
  <c r="A130" i="18"/>
  <c r="F129" i="18"/>
  <c r="E129" i="18"/>
  <c r="D129" i="18"/>
  <c r="C129" i="18"/>
  <c r="B129" i="18"/>
  <c r="A129" i="18"/>
  <c r="F128" i="18"/>
  <c r="E128" i="18"/>
  <c r="D128" i="18"/>
  <c r="C128" i="18"/>
  <c r="B128" i="18"/>
  <c r="A128" i="18"/>
  <c r="F127" i="18"/>
  <c r="E127" i="18"/>
  <c r="D127" i="18"/>
  <c r="C127" i="18"/>
  <c r="B127" i="18"/>
  <c r="A127" i="18"/>
  <c r="F126" i="18"/>
  <c r="E126" i="18"/>
  <c r="D126" i="18"/>
  <c r="C126" i="18"/>
  <c r="B126" i="18"/>
  <c r="A126" i="18"/>
  <c r="F125" i="18"/>
  <c r="E125" i="18"/>
  <c r="D125" i="18"/>
  <c r="C125" i="18"/>
  <c r="B125" i="18"/>
  <c r="A125" i="18"/>
  <c r="F124" i="18"/>
  <c r="E124" i="18"/>
  <c r="D124" i="18"/>
  <c r="C124" i="18"/>
  <c r="B124" i="18"/>
  <c r="A124" i="18"/>
  <c r="F123" i="18"/>
  <c r="E123" i="18"/>
  <c r="D123" i="18"/>
  <c r="C123" i="18"/>
  <c r="B123" i="18"/>
  <c r="A123" i="18"/>
  <c r="F122" i="18"/>
  <c r="E122" i="18"/>
  <c r="D122" i="18"/>
  <c r="C122" i="18"/>
  <c r="B122" i="18"/>
  <c r="A122" i="18"/>
  <c r="F121" i="18"/>
  <c r="E121" i="18"/>
  <c r="D121" i="18"/>
  <c r="C121" i="18"/>
  <c r="B121" i="18"/>
  <c r="A121" i="18"/>
  <c r="F120" i="18"/>
  <c r="E120" i="18"/>
  <c r="D120" i="18"/>
  <c r="C120" i="18"/>
  <c r="B120" i="18"/>
  <c r="A120" i="18"/>
  <c r="F119" i="18"/>
  <c r="E119" i="18"/>
  <c r="D119" i="18"/>
  <c r="C119" i="18"/>
  <c r="B119" i="18"/>
  <c r="A119" i="18"/>
  <c r="F118" i="18"/>
  <c r="E118" i="18"/>
  <c r="D118" i="18"/>
  <c r="C118" i="18"/>
  <c r="B118" i="18"/>
  <c r="A118" i="18"/>
  <c r="F117" i="18"/>
  <c r="E117" i="18"/>
  <c r="D117" i="18"/>
  <c r="C117" i="18"/>
  <c r="B117" i="18"/>
  <c r="A117" i="18"/>
  <c r="F116" i="18"/>
  <c r="E116" i="18"/>
  <c r="D116" i="18"/>
  <c r="C116" i="18"/>
  <c r="B116" i="18"/>
  <c r="A116" i="18"/>
  <c r="F115" i="18"/>
  <c r="E115" i="18"/>
  <c r="D115" i="18"/>
  <c r="C115" i="18"/>
  <c r="B115" i="18"/>
  <c r="A115" i="18"/>
  <c r="F114" i="18"/>
  <c r="E114" i="18"/>
  <c r="D114" i="18"/>
  <c r="C114" i="18"/>
  <c r="B114" i="18"/>
  <c r="A114" i="18"/>
  <c r="F113" i="18"/>
  <c r="E113" i="18"/>
  <c r="D113" i="18"/>
  <c r="C113" i="18"/>
  <c r="B113" i="18"/>
  <c r="A113" i="18"/>
  <c r="F112" i="18"/>
  <c r="E112" i="18"/>
  <c r="D112" i="18"/>
  <c r="C112" i="18"/>
  <c r="B112" i="18"/>
  <c r="A112" i="18"/>
  <c r="F111" i="18"/>
  <c r="E111" i="18"/>
  <c r="D111" i="18"/>
  <c r="C111" i="18"/>
  <c r="B111" i="18"/>
  <c r="A111" i="18"/>
  <c r="F110" i="18"/>
  <c r="E110" i="18"/>
  <c r="D110" i="18"/>
  <c r="C110" i="18"/>
  <c r="B110" i="18"/>
  <c r="A110" i="18"/>
  <c r="F109" i="18"/>
  <c r="E109" i="18"/>
  <c r="D109" i="18"/>
  <c r="C109" i="18"/>
  <c r="B109" i="18"/>
  <c r="A109" i="18"/>
  <c r="F108" i="18"/>
  <c r="E108" i="18"/>
  <c r="D108" i="18"/>
  <c r="C108" i="18"/>
  <c r="B108" i="18"/>
  <c r="A108" i="18"/>
  <c r="F107" i="18"/>
  <c r="E107" i="18"/>
  <c r="D107" i="18"/>
  <c r="C107" i="18"/>
  <c r="B107" i="18"/>
  <c r="A107" i="18"/>
  <c r="F106" i="18"/>
  <c r="E106" i="18"/>
  <c r="D106" i="18"/>
  <c r="C106" i="18"/>
  <c r="B106" i="18"/>
  <c r="A106" i="18"/>
  <c r="F105" i="18"/>
  <c r="E105" i="18"/>
  <c r="D105" i="18"/>
  <c r="C105" i="18"/>
  <c r="B105" i="18"/>
  <c r="A105" i="18"/>
  <c r="F104" i="18"/>
  <c r="E104" i="18"/>
  <c r="D104" i="18"/>
  <c r="C104" i="18"/>
  <c r="B104" i="18"/>
  <c r="A104" i="18"/>
  <c r="F103" i="18"/>
  <c r="E103" i="18"/>
  <c r="D103" i="18"/>
  <c r="C103" i="18"/>
  <c r="B103" i="18"/>
  <c r="A103" i="18"/>
  <c r="F102" i="18"/>
  <c r="E102" i="18"/>
  <c r="D102" i="18"/>
  <c r="C102" i="18"/>
  <c r="B102" i="18"/>
  <c r="A102" i="18"/>
  <c r="F101" i="18"/>
  <c r="E101" i="18"/>
  <c r="D101" i="18"/>
  <c r="C101" i="18"/>
  <c r="B101" i="18"/>
  <c r="A101" i="18"/>
  <c r="F100" i="18"/>
  <c r="E100" i="18"/>
  <c r="D100" i="18"/>
  <c r="C100" i="18"/>
  <c r="B100" i="18"/>
  <c r="A100" i="18"/>
  <c r="F99" i="18"/>
  <c r="E99" i="18"/>
  <c r="D99" i="18"/>
  <c r="C99" i="18"/>
  <c r="B99" i="18"/>
  <c r="A99" i="18"/>
  <c r="F98" i="18"/>
  <c r="E98" i="18"/>
  <c r="D98" i="18"/>
  <c r="C98" i="18"/>
  <c r="B98" i="18"/>
  <c r="A98" i="18"/>
  <c r="F97" i="18"/>
  <c r="E97" i="18"/>
  <c r="D97" i="18"/>
  <c r="C97" i="18"/>
  <c r="B97" i="18"/>
  <c r="A97" i="18"/>
  <c r="F96" i="18"/>
  <c r="E96" i="18"/>
  <c r="D96" i="18"/>
  <c r="C96" i="18"/>
  <c r="B96" i="18"/>
  <c r="A96" i="18"/>
  <c r="F95" i="18"/>
  <c r="E95" i="18"/>
  <c r="D95" i="18"/>
  <c r="C95" i="18"/>
  <c r="B95" i="18"/>
  <c r="A95" i="18"/>
  <c r="F94" i="18"/>
  <c r="E94" i="18"/>
  <c r="D94" i="18"/>
  <c r="C94" i="18"/>
  <c r="B94" i="18"/>
  <c r="A94" i="18"/>
  <c r="F93" i="18"/>
  <c r="E93" i="18"/>
  <c r="D93" i="18"/>
  <c r="C93" i="18"/>
  <c r="B93" i="18"/>
  <c r="A93" i="18"/>
  <c r="F92" i="18"/>
  <c r="E92" i="18"/>
  <c r="D92" i="18"/>
  <c r="C92" i="18"/>
  <c r="B92" i="18"/>
  <c r="A92" i="18"/>
  <c r="F91" i="18"/>
  <c r="E91" i="18"/>
  <c r="D91" i="18"/>
  <c r="C91" i="18"/>
  <c r="B91" i="18"/>
  <c r="A91" i="18"/>
  <c r="F90" i="18"/>
  <c r="E90" i="18"/>
  <c r="D90" i="18"/>
  <c r="C90" i="18"/>
  <c r="B90" i="18"/>
  <c r="A90" i="18"/>
  <c r="F89" i="18"/>
  <c r="E89" i="18"/>
  <c r="D89" i="18"/>
  <c r="C89" i="18"/>
  <c r="B89" i="18"/>
  <c r="A89" i="18"/>
  <c r="F88" i="18"/>
  <c r="E88" i="18"/>
  <c r="D88" i="18"/>
  <c r="C88" i="18"/>
  <c r="B88" i="18"/>
  <c r="A88" i="18"/>
  <c r="G87" i="18"/>
  <c r="F87" i="18"/>
  <c r="E87" i="18"/>
  <c r="D87" i="18"/>
  <c r="C87" i="18"/>
  <c r="B87" i="18"/>
  <c r="A87" i="18"/>
  <c r="F86" i="18"/>
  <c r="E86" i="18"/>
  <c r="D86" i="18"/>
  <c r="C86" i="18"/>
  <c r="B86" i="18"/>
  <c r="A86" i="18"/>
  <c r="F85" i="18"/>
  <c r="E85" i="18"/>
  <c r="D85" i="18"/>
  <c r="C85" i="18"/>
  <c r="B85" i="18"/>
  <c r="A85" i="18"/>
  <c r="F84" i="18"/>
  <c r="E84" i="18"/>
  <c r="D84" i="18"/>
  <c r="C84" i="18"/>
  <c r="B84" i="18"/>
  <c r="A84" i="18"/>
  <c r="F83" i="18"/>
  <c r="E83" i="18"/>
  <c r="D83" i="18"/>
  <c r="C83" i="18"/>
  <c r="B83" i="18"/>
  <c r="A83" i="18"/>
  <c r="F82" i="18"/>
  <c r="E82" i="18"/>
  <c r="D82" i="18"/>
  <c r="C82" i="18"/>
  <c r="B82" i="18"/>
  <c r="A82" i="18"/>
  <c r="F81" i="18"/>
  <c r="E81" i="18"/>
  <c r="D81" i="18"/>
  <c r="C81" i="18"/>
  <c r="B81" i="18"/>
  <c r="A81" i="18"/>
  <c r="F80" i="18"/>
  <c r="E80" i="18"/>
  <c r="D80" i="18"/>
  <c r="C80" i="18"/>
  <c r="B80" i="18"/>
  <c r="A80" i="18"/>
  <c r="F79" i="18"/>
  <c r="E79" i="18"/>
  <c r="D79" i="18"/>
  <c r="C79" i="18"/>
  <c r="B79" i="18"/>
  <c r="A79" i="18"/>
  <c r="F78" i="18"/>
  <c r="E78" i="18"/>
  <c r="D78" i="18"/>
  <c r="C78" i="18"/>
  <c r="B78" i="18"/>
  <c r="A78" i="18"/>
  <c r="F77" i="18"/>
  <c r="E77" i="18"/>
  <c r="D77" i="18"/>
  <c r="C77" i="18"/>
  <c r="B77" i="18"/>
  <c r="A77" i="18"/>
  <c r="F76" i="18"/>
  <c r="E76" i="18"/>
  <c r="D76" i="18"/>
  <c r="C76" i="18"/>
  <c r="B76" i="18"/>
  <c r="A76" i="18"/>
  <c r="F75" i="18"/>
  <c r="E75" i="18"/>
  <c r="D75" i="18"/>
  <c r="C75" i="18"/>
  <c r="B75" i="18"/>
  <c r="A75" i="18"/>
  <c r="F74" i="18"/>
  <c r="E74" i="18"/>
  <c r="D74" i="18"/>
  <c r="C74" i="18"/>
  <c r="B74" i="18"/>
  <c r="A74" i="18"/>
  <c r="F73" i="18"/>
  <c r="E73" i="18"/>
  <c r="D73" i="18"/>
  <c r="C73" i="18"/>
  <c r="B73" i="18"/>
  <c r="A73" i="18"/>
  <c r="F72" i="18"/>
  <c r="E72" i="18"/>
  <c r="D72" i="18"/>
  <c r="C72" i="18"/>
  <c r="B72" i="18"/>
  <c r="A72" i="18"/>
  <c r="F71" i="18"/>
  <c r="E71" i="18"/>
  <c r="D71" i="18"/>
  <c r="C71" i="18"/>
  <c r="B71" i="18"/>
  <c r="A71" i="18"/>
  <c r="F70" i="18"/>
  <c r="E70" i="18"/>
  <c r="D70" i="18"/>
  <c r="C70" i="18"/>
  <c r="B70" i="18"/>
  <c r="A70" i="18"/>
  <c r="F69" i="18"/>
  <c r="E69" i="18"/>
  <c r="D69" i="18"/>
  <c r="C69" i="18"/>
  <c r="B69" i="18"/>
  <c r="A69" i="18"/>
  <c r="F68" i="18"/>
  <c r="E68" i="18"/>
  <c r="D68" i="18"/>
  <c r="C68" i="18"/>
  <c r="B68" i="18"/>
  <c r="A68" i="18"/>
  <c r="F67" i="18"/>
  <c r="E67" i="18"/>
  <c r="D67" i="18"/>
  <c r="C67" i="18"/>
  <c r="B67" i="18"/>
  <c r="A67" i="18"/>
  <c r="F66" i="18"/>
  <c r="E66" i="18"/>
  <c r="D66" i="18"/>
  <c r="C66" i="18"/>
  <c r="B66" i="18"/>
  <c r="A66" i="18"/>
  <c r="F65" i="18"/>
  <c r="E65" i="18"/>
  <c r="D65" i="18"/>
  <c r="C65" i="18"/>
  <c r="B65" i="18"/>
  <c r="A65" i="18"/>
  <c r="F64" i="18"/>
  <c r="E64" i="18"/>
  <c r="D64" i="18"/>
  <c r="C64" i="18"/>
  <c r="B64" i="18"/>
  <c r="A64" i="18"/>
  <c r="F63" i="18"/>
  <c r="E63" i="18"/>
  <c r="D63" i="18"/>
  <c r="C63" i="18"/>
  <c r="B63" i="18"/>
  <c r="A63" i="18"/>
  <c r="F62" i="18"/>
  <c r="E62" i="18"/>
  <c r="D62" i="18"/>
  <c r="C62" i="18"/>
  <c r="B62" i="18"/>
  <c r="A62" i="18"/>
  <c r="F61" i="18"/>
  <c r="E61" i="18"/>
  <c r="D61" i="18"/>
  <c r="C61" i="18"/>
  <c r="B61" i="18"/>
  <c r="A61" i="18"/>
  <c r="F60" i="18"/>
  <c r="E60" i="18"/>
  <c r="D60" i="18"/>
  <c r="C60" i="18"/>
  <c r="B60" i="18"/>
  <c r="A60" i="18"/>
  <c r="F59" i="18"/>
  <c r="E59" i="18"/>
  <c r="D59" i="18"/>
  <c r="C59" i="18"/>
  <c r="B59" i="18"/>
  <c r="A59" i="18"/>
  <c r="F58" i="18"/>
  <c r="E58" i="18"/>
  <c r="D58" i="18"/>
  <c r="C58" i="18"/>
  <c r="B58" i="18"/>
  <c r="A58" i="18"/>
  <c r="F57" i="18"/>
  <c r="E57" i="18"/>
  <c r="D57" i="18"/>
  <c r="C57" i="18"/>
  <c r="B57" i="18"/>
  <c r="A57" i="18"/>
  <c r="F56" i="18"/>
  <c r="E56" i="18"/>
  <c r="D56" i="18"/>
  <c r="C56" i="18"/>
  <c r="B56" i="18"/>
  <c r="A56" i="18"/>
  <c r="F55" i="18"/>
  <c r="E55" i="18"/>
  <c r="D55" i="18"/>
  <c r="C55" i="18"/>
  <c r="B55" i="18"/>
  <c r="A55" i="18"/>
  <c r="F54" i="18"/>
  <c r="E54" i="18"/>
  <c r="D54" i="18"/>
  <c r="C54" i="18"/>
  <c r="B54" i="18"/>
  <c r="A54" i="18"/>
  <c r="F53" i="18"/>
  <c r="E53" i="18"/>
  <c r="D53" i="18"/>
  <c r="C53" i="18"/>
  <c r="B53" i="18"/>
  <c r="A53" i="18"/>
  <c r="F52" i="18"/>
  <c r="E52" i="18"/>
  <c r="D52" i="18"/>
  <c r="C52" i="18"/>
  <c r="B52" i="18"/>
  <c r="A52" i="18"/>
  <c r="F51" i="18"/>
  <c r="E51" i="18"/>
  <c r="D51" i="18"/>
  <c r="C51" i="18"/>
  <c r="B51" i="18"/>
  <c r="A51" i="18"/>
  <c r="F50" i="18"/>
  <c r="E50" i="18"/>
  <c r="D50" i="18"/>
  <c r="C50" i="18"/>
  <c r="B50" i="18"/>
  <c r="A50" i="18"/>
  <c r="F49" i="18"/>
  <c r="E49" i="18"/>
  <c r="D49" i="18"/>
  <c r="C49" i="18"/>
  <c r="B49" i="18"/>
  <c r="A49" i="18"/>
  <c r="F48" i="18"/>
  <c r="E48" i="18"/>
  <c r="D48" i="18"/>
  <c r="C48" i="18"/>
  <c r="B48" i="18"/>
  <c r="A48" i="18"/>
  <c r="F47" i="18"/>
  <c r="E47" i="18"/>
  <c r="D47" i="18"/>
  <c r="C47" i="18"/>
  <c r="B47" i="18"/>
  <c r="A47" i="18"/>
  <c r="F46" i="18"/>
  <c r="E46" i="18"/>
  <c r="D46" i="18"/>
  <c r="C46" i="18"/>
  <c r="B46" i="18"/>
  <c r="A46" i="18"/>
  <c r="F45" i="18"/>
  <c r="E45" i="18"/>
  <c r="D45" i="18"/>
  <c r="C45" i="18"/>
  <c r="B45" i="18"/>
  <c r="A45" i="18"/>
  <c r="F44" i="18"/>
  <c r="E44" i="18"/>
  <c r="D44" i="18"/>
  <c r="C44" i="18"/>
  <c r="B44" i="18"/>
  <c r="A44" i="18"/>
  <c r="F43" i="18"/>
  <c r="E43" i="18"/>
  <c r="D43" i="18"/>
  <c r="C43" i="18"/>
  <c r="B43" i="18"/>
  <c r="A43" i="18"/>
  <c r="F42" i="18"/>
  <c r="E42" i="18"/>
  <c r="D42" i="18"/>
  <c r="C42" i="18"/>
  <c r="B42" i="18"/>
  <c r="A42" i="18"/>
  <c r="F41" i="18"/>
  <c r="E41" i="18"/>
  <c r="D41" i="18"/>
  <c r="C41" i="18"/>
  <c r="B41" i="18"/>
  <c r="A41" i="18"/>
  <c r="F40" i="18"/>
  <c r="E40" i="18"/>
  <c r="D40" i="18"/>
  <c r="C40" i="18"/>
  <c r="B40" i="18"/>
  <c r="A40" i="18"/>
  <c r="F39" i="18"/>
  <c r="E39" i="18"/>
  <c r="D39" i="18"/>
  <c r="C39" i="18"/>
  <c r="B39" i="18"/>
  <c r="A39" i="18"/>
  <c r="F38" i="18"/>
  <c r="E38" i="18"/>
  <c r="D38" i="18"/>
  <c r="C38" i="18"/>
  <c r="B38" i="18"/>
  <c r="A38" i="18"/>
  <c r="F37" i="18"/>
  <c r="E37" i="18"/>
  <c r="D37" i="18"/>
  <c r="C37" i="18"/>
  <c r="B37" i="18"/>
  <c r="A37" i="18"/>
  <c r="F36" i="18"/>
  <c r="E36" i="18"/>
  <c r="D36" i="18"/>
  <c r="C36" i="18"/>
  <c r="B36" i="18"/>
  <c r="A36" i="18"/>
  <c r="F35" i="18"/>
  <c r="E35" i="18"/>
  <c r="D35" i="18"/>
  <c r="C35" i="18"/>
  <c r="B35" i="18"/>
  <c r="A35" i="18"/>
  <c r="F34" i="18"/>
  <c r="E34" i="18"/>
  <c r="D34" i="18"/>
  <c r="C34" i="18"/>
  <c r="B34" i="18"/>
  <c r="A34" i="18"/>
  <c r="F33" i="18"/>
  <c r="E33" i="18"/>
  <c r="D33" i="18"/>
  <c r="C33" i="18"/>
  <c r="B33" i="18"/>
  <c r="A33" i="18"/>
  <c r="F32" i="18"/>
  <c r="E32" i="18"/>
  <c r="D32" i="18"/>
  <c r="C32" i="18"/>
  <c r="B32" i="18"/>
  <c r="A32" i="18"/>
  <c r="F31" i="18"/>
  <c r="E31" i="18"/>
  <c r="D31" i="18"/>
  <c r="C31" i="18"/>
  <c r="B31" i="18"/>
  <c r="A31" i="18"/>
  <c r="F30" i="18"/>
  <c r="E30" i="18"/>
  <c r="D30" i="18"/>
  <c r="C30" i="18"/>
  <c r="B30" i="18"/>
  <c r="A30" i="18"/>
  <c r="F29" i="18"/>
  <c r="E29" i="18"/>
  <c r="D29" i="18"/>
  <c r="C29" i="18"/>
  <c r="B29" i="18"/>
  <c r="A29" i="18"/>
  <c r="F28" i="18"/>
  <c r="E28" i="18"/>
  <c r="D28" i="18"/>
  <c r="C28" i="18"/>
  <c r="B28" i="18"/>
  <c r="A28" i="18"/>
  <c r="F27" i="18"/>
  <c r="E27" i="18"/>
  <c r="D27" i="18"/>
  <c r="C27" i="18"/>
  <c r="B27" i="18"/>
  <c r="A27" i="18"/>
  <c r="F26" i="18"/>
  <c r="E26" i="18"/>
  <c r="D26" i="18"/>
  <c r="C26" i="18"/>
  <c r="B26" i="18"/>
  <c r="A26" i="18"/>
  <c r="F25" i="18"/>
  <c r="E25" i="18"/>
  <c r="D25" i="18"/>
  <c r="C25" i="18"/>
  <c r="B25" i="18"/>
  <c r="A25" i="18"/>
  <c r="F24" i="18"/>
  <c r="E24" i="18"/>
  <c r="D24" i="18"/>
  <c r="C24" i="18"/>
  <c r="B24" i="18"/>
  <c r="A24" i="18"/>
  <c r="F23" i="18"/>
  <c r="E23" i="18"/>
  <c r="D23" i="18"/>
  <c r="C23" i="18"/>
  <c r="B23" i="18"/>
  <c r="A23" i="18"/>
  <c r="F22" i="18"/>
  <c r="E22" i="18"/>
  <c r="D22" i="18"/>
  <c r="C22" i="18"/>
  <c r="B22" i="18"/>
  <c r="A22" i="18"/>
  <c r="F21" i="18"/>
  <c r="E21" i="18"/>
  <c r="D21" i="18"/>
  <c r="C21" i="18"/>
  <c r="B21" i="18"/>
  <c r="A21" i="18"/>
  <c r="F20" i="18"/>
  <c r="E20" i="18"/>
  <c r="D20" i="18"/>
  <c r="C20" i="18"/>
  <c r="B20" i="18"/>
  <c r="A20" i="18"/>
  <c r="F19" i="18"/>
  <c r="E19" i="18"/>
  <c r="D19" i="18"/>
  <c r="C19" i="18"/>
  <c r="B19" i="18"/>
  <c r="A19" i="18"/>
  <c r="F18" i="18"/>
  <c r="E18" i="18"/>
  <c r="D18" i="18"/>
  <c r="C18" i="18"/>
  <c r="B18" i="18"/>
  <c r="A18" i="18"/>
  <c r="F17" i="18"/>
  <c r="E17" i="18"/>
  <c r="D17" i="18"/>
  <c r="C17" i="18"/>
  <c r="B17" i="18"/>
  <c r="A17" i="18"/>
  <c r="F16" i="18"/>
  <c r="E16" i="18"/>
  <c r="D16" i="18"/>
  <c r="C16" i="18"/>
  <c r="B16" i="18"/>
  <c r="A16" i="18"/>
  <c r="F15" i="18"/>
  <c r="E15" i="18"/>
  <c r="D15" i="18"/>
  <c r="C15" i="18"/>
  <c r="B15" i="18"/>
  <c r="A15" i="18"/>
  <c r="F14" i="18"/>
  <c r="E14" i="18"/>
  <c r="D14" i="18"/>
  <c r="C14" i="18"/>
  <c r="B14" i="18"/>
  <c r="A14" i="18"/>
  <c r="F13" i="18"/>
  <c r="E13" i="18"/>
  <c r="D13" i="18"/>
  <c r="C13" i="18"/>
  <c r="B13" i="18"/>
  <c r="A13" i="18"/>
  <c r="G12" i="18"/>
  <c r="F12" i="18"/>
  <c r="E12" i="18"/>
  <c r="D12" i="18"/>
  <c r="C12" i="18"/>
  <c r="B12" i="18"/>
  <c r="A12" i="18"/>
  <c r="G11" i="18"/>
  <c r="F11" i="18"/>
  <c r="E11" i="18"/>
  <c r="D11" i="18"/>
  <c r="C11" i="18"/>
  <c r="B11" i="18"/>
  <c r="A11" i="18"/>
  <c r="G10" i="18"/>
  <c r="F10" i="18"/>
  <c r="E10" i="18"/>
  <c r="D10" i="18"/>
  <c r="C10" i="18"/>
  <c r="B10" i="18"/>
  <c r="A10" i="18"/>
  <c r="G9" i="18"/>
  <c r="F9" i="18"/>
  <c r="E9" i="18"/>
  <c r="D9" i="18"/>
  <c r="C9" i="18"/>
  <c r="B9" i="18"/>
  <c r="A9" i="18"/>
  <c r="G8" i="18"/>
  <c r="F8" i="18"/>
  <c r="E8" i="18"/>
  <c r="D8" i="18"/>
  <c r="C8" i="18"/>
  <c r="B8" i="18"/>
  <c r="A8" i="18"/>
  <c r="G7" i="18"/>
  <c r="F7" i="18"/>
  <c r="E7" i="18"/>
  <c r="D7" i="18"/>
  <c r="C7" i="18"/>
  <c r="B7" i="18"/>
  <c r="A7" i="18"/>
  <c r="F6" i="18"/>
  <c r="E6" i="18"/>
  <c r="D6" i="18"/>
  <c r="C6" i="18"/>
  <c r="B6" i="18"/>
  <c r="A6" i="18"/>
  <c r="F5" i="18"/>
  <c r="E5" i="18"/>
  <c r="D5" i="18"/>
  <c r="C5" i="18"/>
  <c r="B5" i="18"/>
  <c r="A5" i="18"/>
  <c r="F4" i="18"/>
  <c r="E4" i="18"/>
  <c r="D4" i="18"/>
  <c r="C4" i="18"/>
  <c r="B4" i="18"/>
  <c r="A4" i="18"/>
  <c r="F3" i="18"/>
  <c r="E3" i="18"/>
  <c r="D3" i="18"/>
  <c r="C3" i="18"/>
  <c r="B3" i="18"/>
  <c r="A3" i="18"/>
  <c r="F2" i="18"/>
  <c r="E2" i="18"/>
  <c r="D2" i="18"/>
  <c r="C2" i="18"/>
  <c r="B2" i="18"/>
  <c r="A2" i="18"/>
  <c r="G1" i="18"/>
  <c r="F1" i="18"/>
  <c r="E1" i="18"/>
  <c r="D1" i="18"/>
  <c r="C1" i="18"/>
  <c r="B1" i="18"/>
  <c r="A1" i="18"/>
  <c r="N844" i="15"/>
  <c r="M844" i="15"/>
  <c r="L844" i="15"/>
  <c r="K844" i="15"/>
  <c r="J844" i="15"/>
  <c r="I844" i="15"/>
  <c r="H844" i="15"/>
  <c r="G844" i="15"/>
  <c r="F844" i="15"/>
  <c r="E844" i="15"/>
  <c r="D844" i="15"/>
  <c r="C844" i="15"/>
  <c r="B844" i="15"/>
  <c r="N843" i="15"/>
  <c r="M843" i="15"/>
  <c r="L843" i="15"/>
  <c r="K843" i="15"/>
  <c r="J843" i="15"/>
  <c r="I843" i="15"/>
  <c r="H843" i="15"/>
  <c r="G843" i="15"/>
  <c r="F843" i="15"/>
  <c r="E843" i="15"/>
  <c r="D843" i="15"/>
  <c r="C843" i="15"/>
  <c r="B843" i="15"/>
  <c r="N842" i="15"/>
  <c r="M842" i="15"/>
  <c r="L842" i="15"/>
  <c r="K842" i="15"/>
  <c r="J842" i="15"/>
  <c r="I842" i="15"/>
  <c r="H842" i="15"/>
  <c r="G842" i="15"/>
  <c r="F842" i="15"/>
  <c r="E842" i="15"/>
  <c r="D842" i="15"/>
  <c r="C842" i="15"/>
  <c r="B842" i="15"/>
  <c r="N841" i="15"/>
  <c r="M841" i="15"/>
  <c r="L841" i="15"/>
  <c r="K841" i="15"/>
  <c r="J841" i="15"/>
  <c r="I841" i="15"/>
  <c r="H841" i="15"/>
  <c r="G841" i="15"/>
  <c r="F841" i="15"/>
  <c r="E841" i="15"/>
  <c r="D841" i="15"/>
  <c r="C841" i="15"/>
  <c r="B841" i="15"/>
  <c r="N840" i="15"/>
  <c r="M840" i="15"/>
  <c r="L840" i="15"/>
  <c r="K840" i="15"/>
  <c r="J840" i="15"/>
  <c r="I840" i="15"/>
  <c r="H840" i="15"/>
  <c r="G840" i="15"/>
  <c r="F840" i="15"/>
  <c r="E840" i="15"/>
  <c r="D840" i="15"/>
  <c r="C840" i="15"/>
  <c r="B840" i="15"/>
  <c r="N839" i="15"/>
  <c r="M839" i="15"/>
  <c r="L839" i="15"/>
  <c r="K839" i="15"/>
  <c r="J839" i="15"/>
  <c r="I839" i="15"/>
  <c r="H839" i="15"/>
  <c r="G839" i="15"/>
  <c r="F839" i="15"/>
  <c r="E839" i="15"/>
  <c r="D839" i="15"/>
  <c r="C839" i="15"/>
  <c r="B839" i="15"/>
  <c r="N838" i="15"/>
  <c r="M838" i="15"/>
  <c r="L838" i="15"/>
  <c r="K838" i="15"/>
  <c r="J838" i="15"/>
  <c r="I838" i="15"/>
  <c r="H838" i="15"/>
  <c r="G838" i="15"/>
  <c r="F838" i="15"/>
  <c r="E838" i="15"/>
  <c r="D838" i="15"/>
  <c r="C838" i="15"/>
  <c r="B838" i="15"/>
  <c r="N837" i="15"/>
  <c r="M837" i="15"/>
  <c r="L837" i="15"/>
  <c r="K837" i="15"/>
  <c r="J837" i="15"/>
  <c r="I837" i="15"/>
  <c r="H837" i="15"/>
  <c r="G837" i="15"/>
  <c r="F837" i="15"/>
  <c r="E837" i="15"/>
  <c r="D837" i="15"/>
  <c r="C837" i="15"/>
  <c r="B837" i="15"/>
  <c r="N836" i="15"/>
  <c r="M836" i="15"/>
  <c r="L836" i="15"/>
  <c r="K836" i="15"/>
  <c r="J836" i="15"/>
  <c r="I836" i="15"/>
  <c r="H836" i="15"/>
  <c r="G836" i="15"/>
  <c r="F836" i="15"/>
  <c r="E836" i="15"/>
  <c r="D836" i="15"/>
  <c r="C836" i="15"/>
  <c r="B836" i="15"/>
  <c r="N835" i="15"/>
  <c r="M835" i="15"/>
  <c r="L835" i="15"/>
  <c r="K835" i="15"/>
  <c r="J835" i="15"/>
  <c r="I835" i="15"/>
  <c r="H835" i="15"/>
  <c r="G835" i="15"/>
  <c r="F835" i="15"/>
  <c r="E835" i="15"/>
  <c r="D835" i="15"/>
  <c r="C835" i="15"/>
  <c r="B835" i="15"/>
  <c r="N834" i="15"/>
  <c r="M834" i="15"/>
  <c r="L834" i="15"/>
  <c r="K834" i="15"/>
  <c r="J834" i="15"/>
  <c r="I834" i="15"/>
  <c r="H834" i="15"/>
  <c r="G834" i="15"/>
  <c r="F834" i="15"/>
  <c r="E834" i="15"/>
  <c r="D834" i="15"/>
  <c r="C834" i="15"/>
  <c r="B834" i="15"/>
  <c r="N833" i="15"/>
  <c r="M833" i="15"/>
  <c r="L833" i="15"/>
  <c r="K833" i="15"/>
  <c r="J833" i="15"/>
  <c r="I833" i="15"/>
  <c r="H833" i="15"/>
  <c r="G833" i="15"/>
  <c r="F833" i="15"/>
  <c r="E833" i="15"/>
  <c r="D833" i="15"/>
  <c r="C833" i="15"/>
  <c r="B833" i="15"/>
  <c r="N832" i="15"/>
  <c r="M832" i="15"/>
  <c r="L832" i="15"/>
  <c r="K832" i="15"/>
  <c r="J832" i="15"/>
  <c r="I832" i="15"/>
  <c r="H832" i="15"/>
  <c r="G832" i="15"/>
  <c r="F832" i="15"/>
  <c r="E832" i="15"/>
  <c r="D832" i="15"/>
  <c r="C832" i="15"/>
  <c r="B832" i="15"/>
  <c r="N831" i="15"/>
  <c r="M831" i="15"/>
  <c r="L831" i="15"/>
  <c r="K831" i="15"/>
  <c r="J831" i="15"/>
  <c r="I831" i="15"/>
  <c r="H831" i="15"/>
  <c r="G831" i="15"/>
  <c r="F831" i="15"/>
  <c r="E831" i="15"/>
  <c r="D831" i="15"/>
  <c r="C831" i="15"/>
  <c r="B831" i="15"/>
  <c r="N830" i="15"/>
  <c r="M830" i="15"/>
  <c r="L830" i="15"/>
  <c r="K830" i="15"/>
  <c r="J830" i="15"/>
  <c r="I830" i="15"/>
  <c r="H830" i="15"/>
  <c r="G830" i="15"/>
  <c r="F830" i="15"/>
  <c r="E830" i="15"/>
  <c r="D830" i="15"/>
  <c r="C830" i="15"/>
  <c r="B830" i="15"/>
  <c r="N829" i="15"/>
  <c r="M829" i="15"/>
  <c r="L829" i="15"/>
  <c r="K829" i="15"/>
  <c r="J829" i="15"/>
  <c r="I829" i="15"/>
  <c r="H829" i="15"/>
  <c r="G829" i="15"/>
  <c r="F829" i="15"/>
  <c r="E829" i="15"/>
  <c r="D829" i="15"/>
  <c r="C829" i="15"/>
  <c r="B829" i="15"/>
  <c r="N828" i="15"/>
  <c r="M828" i="15"/>
  <c r="L828" i="15"/>
  <c r="K828" i="15"/>
  <c r="J828" i="15"/>
  <c r="I828" i="15"/>
  <c r="H828" i="15"/>
  <c r="G828" i="15"/>
  <c r="F828" i="15"/>
  <c r="E828" i="15"/>
  <c r="D828" i="15"/>
  <c r="C828" i="15"/>
  <c r="B828" i="15"/>
  <c r="N827" i="15"/>
  <c r="M827" i="15"/>
  <c r="L827" i="15"/>
  <c r="K827" i="15"/>
  <c r="J827" i="15"/>
  <c r="I827" i="15"/>
  <c r="H827" i="15"/>
  <c r="G827" i="15"/>
  <c r="F827" i="15"/>
  <c r="E827" i="15"/>
  <c r="D827" i="15"/>
  <c r="C827" i="15"/>
  <c r="B827" i="15"/>
  <c r="N826" i="15"/>
  <c r="M826" i="15"/>
  <c r="L826" i="15"/>
  <c r="K826" i="15"/>
  <c r="J826" i="15"/>
  <c r="I826" i="15"/>
  <c r="H826" i="15"/>
  <c r="G826" i="15"/>
  <c r="F826" i="15"/>
  <c r="E826" i="15"/>
  <c r="D826" i="15"/>
  <c r="C826" i="15"/>
  <c r="B826" i="15"/>
  <c r="N825" i="15"/>
  <c r="M825" i="15"/>
  <c r="L825" i="15"/>
  <c r="K825" i="15"/>
  <c r="J825" i="15"/>
  <c r="I825" i="15"/>
  <c r="H825" i="15"/>
  <c r="G825" i="15"/>
  <c r="F825" i="15"/>
  <c r="E825" i="15"/>
  <c r="D825" i="15"/>
  <c r="C825" i="15"/>
  <c r="B825" i="15"/>
  <c r="N824" i="15"/>
  <c r="M824" i="15"/>
  <c r="L824" i="15"/>
  <c r="K824" i="15"/>
  <c r="J824" i="15"/>
  <c r="I824" i="15"/>
  <c r="H824" i="15"/>
  <c r="G824" i="15"/>
  <c r="F824" i="15"/>
  <c r="E824" i="15"/>
  <c r="D824" i="15"/>
  <c r="C824" i="15"/>
  <c r="B824" i="15"/>
  <c r="N823" i="15"/>
  <c r="M823" i="15"/>
  <c r="L823" i="15"/>
  <c r="K823" i="15"/>
  <c r="J823" i="15"/>
  <c r="I823" i="15"/>
  <c r="H823" i="15"/>
  <c r="G823" i="15"/>
  <c r="F823" i="15"/>
  <c r="E823" i="15"/>
  <c r="D823" i="15"/>
  <c r="C823" i="15"/>
  <c r="B823" i="15"/>
  <c r="N822" i="15"/>
  <c r="M822" i="15"/>
  <c r="L822" i="15"/>
  <c r="K822" i="15"/>
  <c r="J822" i="15"/>
  <c r="I822" i="15"/>
  <c r="H822" i="15"/>
  <c r="G822" i="15"/>
  <c r="F822" i="15"/>
  <c r="E822" i="15"/>
  <c r="D822" i="15"/>
  <c r="C822" i="15"/>
  <c r="B822" i="15"/>
  <c r="N821" i="15"/>
  <c r="M821" i="15"/>
  <c r="L821" i="15"/>
  <c r="K821" i="15"/>
  <c r="J821" i="15"/>
  <c r="I821" i="15"/>
  <c r="H821" i="15"/>
  <c r="G821" i="15"/>
  <c r="F821" i="15"/>
  <c r="E821" i="15"/>
  <c r="D821" i="15"/>
  <c r="C821" i="15"/>
  <c r="B821" i="15"/>
  <c r="N820" i="15"/>
  <c r="M820" i="15"/>
  <c r="L820" i="15"/>
  <c r="K820" i="15"/>
  <c r="J820" i="15"/>
  <c r="I820" i="15"/>
  <c r="H820" i="15"/>
  <c r="G820" i="15"/>
  <c r="F820" i="15"/>
  <c r="E820" i="15"/>
  <c r="D820" i="15"/>
  <c r="C820" i="15"/>
  <c r="B820" i="15"/>
  <c r="N819" i="15"/>
  <c r="M819" i="15"/>
  <c r="L819" i="15"/>
  <c r="K819" i="15"/>
  <c r="J819" i="15"/>
  <c r="I819" i="15"/>
  <c r="H819" i="15"/>
  <c r="G819" i="15"/>
  <c r="F819" i="15"/>
  <c r="E819" i="15"/>
  <c r="D819" i="15"/>
  <c r="C819" i="15"/>
  <c r="B819" i="15"/>
  <c r="N818" i="15"/>
  <c r="M818" i="15"/>
  <c r="L818" i="15"/>
  <c r="K818" i="15"/>
  <c r="J818" i="15"/>
  <c r="I818" i="15"/>
  <c r="H818" i="15"/>
  <c r="G818" i="15"/>
  <c r="F818" i="15"/>
  <c r="E818" i="15"/>
  <c r="D818" i="15"/>
  <c r="C818" i="15"/>
  <c r="B818" i="15"/>
  <c r="N817" i="15"/>
  <c r="M817" i="15"/>
  <c r="L817" i="15"/>
  <c r="K817" i="15"/>
  <c r="J817" i="15"/>
  <c r="I817" i="15"/>
  <c r="H817" i="15"/>
  <c r="G817" i="15"/>
  <c r="F817" i="15"/>
  <c r="E817" i="15"/>
  <c r="D817" i="15"/>
  <c r="C817" i="15"/>
  <c r="B817" i="15"/>
  <c r="N816" i="15"/>
  <c r="M816" i="15"/>
  <c r="L816" i="15"/>
  <c r="K816" i="15"/>
  <c r="J816" i="15"/>
  <c r="I816" i="15"/>
  <c r="H816" i="15"/>
  <c r="G816" i="15"/>
  <c r="F816" i="15"/>
  <c r="E816" i="15"/>
  <c r="D816" i="15"/>
  <c r="C816" i="15"/>
  <c r="B816" i="15"/>
  <c r="N815" i="15"/>
  <c r="M815" i="15"/>
  <c r="L815" i="15"/>
  <c r="K815" i="15"/>
  <c r="J815" i="15"/>
  <c r="I815" i="15"/>
  <c r="H815" i="15"/>
  <c r="G815" i="15"/>
  <c r="F815" i="15"/>
  <c r="E815" i="15"/>
  <c r="D815" i="15"/>
  <c r="C815" i="15"/>
  <c r="B815" i="15"/>
  <c r="N814" i="15"/>
  <c r="M814" i="15"/>
  <c r="L814" i="15"/>
  <c r="K814" i="15"/>
  <c r="J814" i="15"/>
  <c r="I814" i="15"/>
  <c r="H814" i="15"/>
  <c r="G814" i="15"/>
  <c r="F814" i="15"/>
  <c r="E814" i="15"/>
  <c r="D814" i="15"/>
  <c r="C814" i="15"/>
  <c r="B814" i="15"/>
  <c r="N813" i="15"/>
  <c r="M813" i="15"/>
  <c r="L813" i="15"/>
  <c r="K813" i="15"/>
  <c r="J813" i="15"/>
  <c r="I813" i="15"/>
  <c r="H813" i="15"/>
  <c r="G813" i="15"/>
  <c r="F813" i="15"/>
  <c r="E813" i="15"/>
  <c r="D813" i="15"/>
  <c r="C813" i="15"/>
  <c r="B813" i="15"/>
  <c r="N812" i="15"/>
  <c r="M812" i="15"/>
  <c r="L812" i="15"/>
  <c r="K812" i="15"/>
  <c r="J812" i="15"/>
  <c r="I812" i="15"/>
  <c r="H812" i="15"/>
  <c r="G812" i="15"/>
  <c r="F812" i="15"/>
  <c r="E812" i="15"/>
  <c r="D812" i="15"/>
  <c r="C812" i="15"/>
  <c r="B812" i="15"/>
  <c r="N811" i="15"/>
  <c r="M811" i="15"/>
  <c r="L811" i="15"/>
  <c r="K811" i="15"/>
  <c r="J811" i="15"/>
  <c r="I811" i="15"/>
  <c r="H811" i="15"/>
  <c r="G811" i="15"/>
  <c r="F811" i="15"/>
  <c r="E811" i="15"/>
  <c r="D811" i="15"/>
  <c r="C811" i="15"/>
  <c r="B811" i="15"/>
  <c r="N810" i="15"/>
  <c r="M810" i="15"/>
  <c r="L810" i="15"/>
  <c r="K810" i="15"/>
  <c r="J810" i="15"/>
  <c r="I810" i="15"/>
  <c r="H810" i="15"/>
  <c r="G810" i="15"/>
  <c r="F810" i="15"/>
  <c r="E810" i="15"/>
  <c r="D810" i="15"/>
  <c r="C810" i="15"/>
  <c r="B810" i="15"/>
  <c r="N809" i="15"/>
  <c r="M809" i="15"/>
  <c r="L809" i="15"/>
  <c r="K809" i="15"/>
  <c r="J809" i="15"/>
  <c r="I809" i="15"/>
  <c r="H809" i="15"/>
  <c r="G809" i="15"/>
  <c r="F809" i="15"/>
  <c r="E809" i="15"/>
  <c r="D809" i="15"/>
  <c r="C809" i="15"/>
  <c r="B809" i="15"/>
  <c r="N808" i="15"/>
  <c r="M808" i="15"/>
  <c r="L808" i="15"/>
  <c r="K808" i="15"/>
  <c r="J808" i="15"/>
  <c r="I808" i="15"/>
  <c r="H808" i="15"/>
  <c r="G808" i="15"/>
  <c r="F808" i="15"/>
  <c r="E808" i="15"/>
  <c r="D808" i="15"/>
  <c r="C808" i="15"/>
  <c r="B808" i="15"/>
  <c r="N807" i="15"/>
  <c r="M807" i="15"/>
  <c r="L807" i="15"/>
  <c r="K807" i="15"/>
  <c r="J807" i="15"/>
  <c r="I807" i="15"/>
  <c r="H807" i="15"/>
  <c r="G807" i="15"/>
  <c r="F807" i="15"/>
  <c r="E807" i="15"/>
  <c r="D807" i="15"/>
  <c r="C807" i="15"/>
  <c r="B807" i="15"/>
  <c r="N806" i="15"/>
  <c r="M806" i="15"/>
  <c r="L806" i="15"/>
  <c r="K806" i="15"/>
  <c r="J806" i="15"/>
  <c r="I806" i="15"/>
  <c r="H806" i="15"/>
  <c r="G806" i="15"/>
  <c r="F806" i="15"/>
  <c r="E806" i="15"/>
  <c r="D806" i="15"/>
  <c r="C806" i="15"/>
  <c r="B806" i="15"/>
  <c r="N805" i="15"/>
  <c r="M805" i="15"/>
  <c r="L805" i="15"/>
  <c r="K805" i="15"/>
  <c r="J805" i="15"/>
  <c r="I805" i="15"/>
  <c r="H805" i="15"/>
  <c r="G805" i="15"/>
  <c r="F805" i="15"/>
  <c r="E805" i="15"/>
  <c r="D805" i="15"/>
  <c r="C805" i="15"/>
  <c r="B805" i="15"/>
  <c r="N804" i="15"/>
  <c r="M804" i="15"/>
  <c r="L804" i="15"/>
  <c r="K804" i="15"/>
  <c r="J804" i="15"/>
  <c r="I804" i="15"/>
  <c r="H804" i="15"/>
  <c r="G804" i="15"/>
  <c r="F804" i="15"/>
  <c r="E804" i="15"/>
  <c r="D804" i="15"/>
  <c r="C804" i="15"/>
  <c r="B804" i="15"/>
  <c r="N803" i="15"/>
  <c r="M803" i="15"/>
  <c r="L803" i="15"/>
  <c r="K803" i="15"/>
  <c r="J803" i="15"/>
  <c r="I803" i="15"/>
  <c r="H803" i="15"/>
  <c r="G803" i="15"/>
  <c r="F803" i="15"/>
  <c r="E803" i="15"/>
  <c r="D803" i="15"/>
  <c r="C803" i="15"/>
  <c r="B803" i="15"/>
  <c r="N802" i="15"/>
  <c r="M802" i="15"/>
  <c r="L802" i="15"/>
  <c r="K802" i="15"/>
  <c r="J802" i="15"/>
  <c r="I802" i="15"/>
  <c r="H802" i="15"/>
  <c r="G802" i="15"/>
  <c r="F802" i="15"/>
  <c r="E802" i="15"/>
  <c r="D802" i="15"/>
  <c r="C802" i="15"/>
  <c r="B802" i="15"/>
  <c r="N801" i="15"/>
  <c r="M801" i="15"/>
  <c r="L801" i="15"/>
  <c r="K801" i="15"/>
  <c r="J801" i="15"/>
  <c r="I801" i="15"/>
  <c r="H801" i="15"/>
  <c r="G801" i="15"/>
  <c r="F801" i="15"/>
  <c r="E801" i="15"/>
  <c r="D801" i="15"/>
  <c r="C801" i="15"/>
  <c r="B801" i="15"/>
  <c r="N800" i="15"/>
  <c r="M800" i="15"/>
  <c r="L800" i="15"/>
  <c r="K800" i="15"/>
  <c r="J800" i="15"/>
  <c r="I800" i="15"/>
  <c r="H800" i="15"/>
  <c r="G800" i="15"/>
  <c r="F800" i="15"/>
  <c r="E800" i="15"/>
  <c r="D800" i="15"/>
  <c r="C800" i="15"/>
  <c r="B800" i="15"/>
  <c r="N799" i="15"/>
  <c r="M799" i="15"/>
  <c r="L799" i="15"/>
  <c r="K799" i="15"/>
  <c r="J799" i="15"/>
  <c r="I799" i="15"/>
  <c r="H799" i="15"/>
  <c r="G799" i="15"/>
  <c r="F799" i="15"/>
  <c r="E799" i="15"/>
  <c r="D799" i="15"/>
  <c r="C799" i="15"/>
  <c r="B799" i="15"/>
  <c r="N798" i="15"/>
  <c r="M798" i="15"/>
  <c r="L798" i="15"/>
  <c r="K798" i="15"/>
  <c r="J798" i="15"/>
  <c r="I798" i="15"/>
  <c r="H798" i="15"/>
  <c r="G798" i="15"/>
  <c r="F798" i="15"/>
  <c r="E798" i="15"/>
  <c r="D798" i="15"/>
  <c r="C798" i="15"/>
  <c r="B798" i="15"/>
  <c r="N797" i="15"/>
  <c r="M797" i="15"/>
  <c r="L797" i="15"/>
  <c r="K797" i="15"/>
  <c r="J797" i="15"/>
  <c r="I797" i="15"/>
  <c r="H797" i="15"/>
  <c r="G797" i="15"/>
  <c r="F797" i="15"/>
  <c r="E797" i="15"/>
  <c r="D797" i="15"/>
  <c r="C797" i="15"/>
  <c r="B797" i="15"/>
  <c r="N796" i="15"/>
  <c r="M796" i="15"/>
  <c r="L796" i="15"/>
  <c r="K796" i="15"/>
  <c r="J796" i="15"/>
  <c r="I796" i="15"/>
  <c r="H796" i="15"/>
  <c r="G796" i="15"/>
  <c r="F796" i="15"/>
  <c r="E796" i="15"/>
  <c r="D796" i="15"/>
  <c r="C796" i="15"/>
  <c r="B796" i="15"/>
  <c r="N795" i="15"/>
  <c r="M795" i="15"/>
  <c r="L795" i="15"/>
  <c r="K795" i="15"/>
  <c r="J795" i="15"/>
  <c r="I795" i="15"/>
  <c r="H795" i="15"/>
  <c r="G795" i="15"/>
  <c r="F795" i="15"/>
  <c r="E795" i="15"/>
  <c r="D795" i="15"/>
  <c r="C795" i="15"/>
  <c r="B795" i="15"/>
  <c r="N794" i="15"/>
  <c r="M794" i="15"/>
  <c r="L794" i="15"/>
  <c r="K794" i="15"/>
  <c r="J794" i="15"/>
  <c r="I794" i="15"/>
  <c r="H794" i="15"/>
  <c r="G794" i="15"/>
  <c r="F794" i="15"/>
  <c r="E794" i="15"/>
  <c r="D794" i="15"/>
  <c r="C794" i="15"/>
  <c r="B794" i="15"/>
  <c r="N793" i="15"/>
  <c r="M793" i="15"/>
  <c r="L793" i="15"/>
  <c r="K793" i="15"/>
  <c r="J793" i="15"/>
  <c r="I793" i="15"/>
  <c r="H793" i="15"/>
  <c r="G793" i="15"/>
  <c r="F793" i="15"/>
  <c r="E793" i="15"/>
  <c r="D793" i="15"/>
  <c r="C793" i="15"/>
  <c r="B793" i="15"/>
  <c r="N792" i="15"/>
  <c r="M792" i="15"/>
  <c r="L792" i="15"/>
  <c r="K792" i="15"/>
  <c r="J792" i="15"/>
  <c r="I792" i="15"/>
  <c r="H792" i="15"/>
  <c r="G792" i="15"/>
  <c r="F792" i="15"/>
  <c r="E792" i="15"/>
  <c r="D792" i="15"/>
  <c r="C792" i="15"/>
  <c r="B792" i="15"/>
  <c r="N791" i="15"/>
  <c r="M791" i="15"/>
  <c r="L791" i="15"/>
  <c r="K791" i="15"/>
  <c r="J791" i="15"/>
  <c r="I791" i="15"/>
  <c r="H791" i="15"/>
  <c r="G791" i="15"/>
  <c r="F791" i="15"/>
  <c r="E791" i="15"/>
  <c r="D791" i="15"/>
  <c r="C791" i="15"/>
  <c r="B791" i="15"/>
  <c r="N790" i="15"/>
  <c r="M790" i="15"/>
  <c r="L790" i="15"/>
  <c r="K790" i="15"/>
  <c r="J790" i="15"/>
  <c r="I790" i="15"/>
  <c r="H790" i="15"/>
  <c r="G790" i="15"/>
  <c r="F790" i="15"/>
  <c r="E790" i="15"/>
  <c r="D790" i="15"/>
  <c r="C790" i="15"/>
  <c r="B790" i="15"/>
  <c r="N789" i="15"/>
  <c r="M789" i="15"/>
  <c r="L789" i="15"/>
  <c r="K789" i="15"/>
  <c r="J789" i="15"/>
  <c r="I789" i="15"/>
  <c r="H789" i="15"/>
  <c r="G789" i="15"/>
  <c r="F789" i="15"/>
  <c r="E789" i="15"/>
  <c r="D789" i="15"/>
  <c r="C789" i="15"/>
  <c r="B789" i="15"/>
  <c r="N788" i="15"/>
  <c r="M788" i="15"/>
  <c r="L788" i="15"/>
  <c r="K788" i="15"/>
  <c r="J788" i="15"/>
  <c r="I788" i="15"/>
  <c r="H788" i="15"/>
  <c r="G788" i="15"/>
  <c r="F788" i="15"/>
  <c r="E788" i="15"/>
  <c r="D788" i="15"/>
  <c r="C788" i="15"/>
  <c r="B788" i="15"/>
  <c r="N787" i="15"/>
  <c r="M787" i="15"/>
  <c r="L787" i="15"/>
  <c r="K787" i="15"/>
  <c r="J787" i="15"/>
  <c r="I787" i="15"/>
  <c r="H787" i="15"/>
  <c r="G787" i="15"/>
  <c r="F787" i="15"/>
  <c r="E787" i="15"/>
  <c r="D787" i="15"/>
  <c r="C787" i="15"/>
  <c r="B787" i="15"/>
  <c r="N786" i="15"/>
  <c r="M786" i="15"/>
  <c r="L786" i="15"/>
  <c r="K786" i="15"/>
  <c r="J786" i="15"/>
  <c r="I786" i="15"/>
  <c r="H786" i="15"/>
  <c r="G786" i="15"/>
  <c r="F786" i="15"/>
  <c r="E786" i="15"/>
  <c r="D786" i="15"/>
  <c r="C786" i="15"/>
  <c r="B786" i="15"/>
  <c r="N785" i="15"/>
  <c r="M785" i="15"/>
  <c r="L785" i="15"/>
  <c r="K785" i="15"/>
  <c r="J785" i="15"/>
  <c r="I785" i="15"/>
  <c r="H785" i="15"/>
  <c r="G785" i="15"/>
  <c r="F785" i="15"/>
  <c r="E785" i="15"/>
  <c r="D785" i="15"/>
  <c r="C785" i="15"/>
  <c r="B785" i="15"/>
  <c r="N784" i="15"/>
  <c r="M784" i="15"/>
  <c r="L784" i="15"/>
  <c r="K784" i="15"/>
  <c r="J784" i="15"/>
  <c r="I784" i="15"/>
  <c r="H784" i="15"/>
  <c r="G784" i="15"/>
  <c r="F784" i="15"/>
  <c r="E784" i="15"/>
  <c r="D784" i="15"/>
  <c r="C784" i="15"/>
  <c r="B784" i="15"/>
  <c r="N783" i="15"/>
  <c r="M783" i="15"/>
  <c r="L783" i="15"/>
  <c r="K783" i="15"/>
  <c r="J783" i="15"/>
  <c r="I783" i="15"/>
  <c r="H783" i="15"/>
  <c r="G783" i="15"/>
  <c r="F783" i="15"/>
  <c r="E783" i="15"/>
  <c r="D783" i="15"/>
  <c r="C783" i="15"/>
  <c r="B783" i="15"/>
  <c r="N782" i="15"/>
  <c r="M782" i="15"/>
  <c r="L782" i="15"/>
  <c r="K782" i="15"/>
  <c r="J782" i="15"/>
  <c r="I782" i="15"/>
  <c r="H782" i="15"/>
  <c r="G782" i="15"/>
  <c r="F782" i="15"/>
  <c r="E782" i="15"/>
  <c r="D782" i="15"/>
  <c r="C782" i="15"/>
  <c r="B782" i="15"/>
  <c r="N781" i="15"/>
  <c r="M781" i="15"/>
  <c r="L781" i="15"/>
  <c r="K781" i="15"/>
  <c r="J781" i="15"/>
  <c r="I781" i="15"/>
  <c r="H781" i="15"/>
  <c r="G781" i="15"/>
  <c r="F781" i="15"/>
  <c r="E781" i="15"/>
  <c r="D781" i="15"/>
  <c r="C781" i="15"/>
  <c r="B781" i="15"/>
  <c r="N780" i="15"/>
  <c r="M780" i="15"/>
  <c r="L780" i="15"/>
  <c r="K780" i="15"/>
  <c r="J780" i="15"/>
  <c r="I780" i="15"/>
  <c r="H780" i="15"/>
  <c r="G780" i="15"/>
  <c r="F780" i="15"/>
  <c r="E780" i="15"/>
  <c r="D780" i="15"/>
  <c r="C780" i="15"/>
  <c r="B780" i="15"/>
  <c r="N779" i="15"/>
  <c r="M779" i="15"/>
  <c r="L779" i="15"/>
  <c r="K779" i="15"/>
  <c r="J779" i="15"/>
  <c r="I779" i="15"/>
  <c r="H779" i="15"/>
  <c r="G779" i="15"/>
  <c r="F779" i="15"/>
  <c r="E779" i="15"/>
  <c r="D779" i="15"/>
  <c r="C779" i="15"/>
  <c r="B779" i="15"/>
  <c r="N778" i="15"/>
  <c r="M778" i="15"/>
  <c r="L778" i="15"/>
  <c r="K778" i="15"/>
  <c r="J778" i="15"/>
  <c r="I778" i="15"/>
  <c r="H778" i="15"/>
  <c r="G778" i="15"/>
  <c r="F778" i="15"/>
  <c r="E778" i="15"/>
  <c r="D778" i="15"/>
  <c r="C778" i="15"/>
  <c r="B778" i="15"/>
  <c r="N777" i="15"/>
  <c r="M777" i="15"/>
  <c r="L777" i="15"/>
  <c r="K777" i="15"/>
  <c r="J777" i="15"/>
  <c r="I777" i="15"/>
  <c r="H777" i="15"/>
  <c r="G777" i="15"/>
  <c r="F777" i="15"/>
  <c r="E777" i="15"/>
  <c r="D777" i="15"/>
  <c r="C777" i="15"/>
  <c r="B777" i="15"/>
  <c r="N776" i="15"/>
  <c r="M776" i="15"/>
  <c r="L776" i="15"/>
  <c r="K776" i="15"/>
  <c r="J776" i="15"/>
  <c r="I776" i="15"/>
  <c r="H776" i="15"/>
  <c r="G776" i="15"/>
  <c r="F776" i="15"/>
  <c r="E776" i="15"/>
  <c r="D776" i="15"/>
  <c r="C776" i="15"/>
  <c r="B776" i="15"/>
  <c r="N775" i="15"/>
  <c r="M775" i="15"/>
  <c r="L775" i="15"/>
  <c r="K775" i="15"/>
  <c r="J775" i="15"/>
  <c r="I775" i="15"/>
  <c r="H775" i="15"/>
  <c r="G775" i="15"/>
  <c r="F775" i="15"/>
  <c r="E775" i="15"/>
  <c r="D775" i="15"/>
  <c r="C775" i="15"/>
  <c r="B775" i="15"/>
  <c r="N774" i="15"/>
  <c r="M774" i="15"/>
  <c r="L774" i="15"/>
  <c r="K774" i="15"/>
  <c r="J774" i="15"/>
  <c r="I774" i="15"/>
  <c r="H774" i="15"/>
  <c r="G774" i="15"/>
  <c r="F774" i="15"/>
  <c r="E774" i="15"/>
  <c r="D774" i="15"/>
  <c r="C774" i="15"/>
  <c r="B774" i="15"/>
  <c r="N773" i="15"/>
  <c r="M773" i="15"/>
  <c r="L773" i="15"/>
  <c r="K773" i="15"/>
  <c r="J773" i="15"/>
  <c r="I773" i="15"/>
  <c r="H773" i="15"/>
  <c r="G773" i="15"/>
  <c r="F773" i="15"/>
  <c r="E773" i="15"/>
  <c r="D773" i="15"/>
  <c r="C773" i="15"/>
  <c r="B773" i="15"/>
  <c r="N772" i="15"/>
  <c r="M772" i="15"/>
  <c r="L772" i="15"/>
  <c r="K772" i="15"/>
  <c r="J772" i="15"/>
  <c r="I772" i="15"/>
  <c r="H772" i="15"/>
  <c r="G772" i="15"/>
  <c r="F772" i="15"/>
  <c r="E772" i="15"/>
  <c r="D772" i="15"/>
  <c r="C772" i="15"/>
  <c r="B772" i="15"/>
  <c r="N771" i="15"/>
  <c r="M771" i="15"/>
  <c r="L771" i="15"/>
  <c r="K771" i="15"/>
  <c r="J771" i="15"/>
  <c r="I771" i="15"/>
  <c r="H771" i="15"/>
  <c r="G771" i="15"/>
  <c r="F771" i="15"/>
  <c r="E771" i="15"/>
  <c r="D771" i="15"/>
  <c r="C771" i="15"/>
  <c r="B771" i="15"/>
  <c r="N770" i="15"/>
  <c r="M770" i="15"/>
  <c r="L770" i="15"/>
  <c r="K770" i="15"/>
  <c r="J770" i="15"/>
  <c r="I770" i="15"/>
  <c r="H770" i="15"/>
  <c r="G770" i="15"/>
  <c r="F770" i="15"/>
  <c r="E770" i="15"/>
  <c r="D770" i="15"/>
  <c r="C770" i="15"/>
  <c r="B770" i="15"/>
  <c r="N769" i="15"/>
  <c r="M769" i="15"/>
  <c r="L769" i="15"/>
  <c r="K769" i="15"/>
  <c r="J769" i="15"/>
  <c r="I769" i="15"/>
  <c r="H769" i="15"/>
  <c r="G769" i="15"/>
  <c r="F769" i="15"/>
  <c r="E769" i="15"/>
  <c r="D769" i="15"/>
  <c r="C769" i="15"/>
  <c r="B769" i="15"/>
  <c r="N768" i="15"/>
  <c r="M768" i="15"/>
  <c r="L768" i="15"/>
  <c r="K768" i="15"/>
  <c r="J768" i="15"/>
  <c r="I768" i="15"/>
  <c r="H768" i="15"/>
  <c r="G768" i="15"/>
  <c r="F768" i="15"/>
  <c r="E768" i="15"/>
  <c r="D768" i="15"/>
  <c r="C768" i="15"/>
  <c r="B768" i="15"/>
  <c r="N767" i="15"/>
  <c r="M767" i="15"/>
  <c r="L767" i="15"/>
  <c r="K767" i="15"/>
  <c r="J767" i="15"/>
  <c r="I767" i="15"/>
  <c r="H767" i="15"/>
  <c r="G767" i="15"/>
  <c r="F767" i="15"/>
  <c r="E767" i="15"/>
  <c r="D767" i="15"/>
  <c r="C767" i="15"/>
  <c r="B767" i="15"/>
  <c r="N766" i="15"/>
  <c r="M766" i="15"/>
  <c r="L766" i="15"/>
  <c r="K766" i="15"/>
  <c r="J766" i="15"/>
  <c r="I766" i="15"/>
  <c r="H766" i="15"/>
  <c r="G766" i="15"/>
  <c r="F766" i="15"/>
  <c r="E766" i="15"/>
  <c r="D766" i="15"/>
  <c r="C766" i="15"/>
  <c r="B766" i="15"/>
  <c r="N765" i="15"/>
  <c r="M765" i="15"/>
  <c r="L765" i="15"/>
  <c r="K765" i="15"/>
  <c r="J765" i="15"/>
  <c r="I765" i="15"/>
  <c r="H765" i="15"/>
  <c r="G765" i="15"/>
  <c r="F765" i="15"/>
  <c r="E765" i="15"/>
  <c r="D765" i="15"/>
  <c r="C765" i="15"/>
  <c r="B765" i="15"/>
  <c r="N764" i="15"/>
  <c r="M764" i="15"/>
  <c r="L764" i="15"/>
  <c r="K764" i="15"/>
  <c r="J764" i="15"/>
  <c r="I764" i="15"/>
  <c r="H764" i="15"/>
  <c r="G764" i="15"/>
  <c r="F764" i="15"/>
  <c r="E764" i="15"/>
  <c r="D764" i="15"/>
  <c r="C764" i="15"/>
  <c r="B764" i="15"/>
  <c r="N763" i="15"/>
  <c r="M763" i="15"/>
  <c r="L763" i="15"/>
  <c r="K763" i="15"/>
  <c r="J763" i="15"/>
  <c r="I763" i="15"/>
  <c r="H763" i="15"/>
  <c r="G763" i="15"/>
  <c r="F763" i="15"/>
  <c r="E763" i="15"/>
  <c r="D763" i="15"/>
  <c r="C763" i="15"/>
  <c r="B763" i="15"/>
  <c r="N762" i="15"/>
  <c r="M762" i="15"/>
  <c r="L762" i="15"/>
  <c r="K762" i="15"/>
  <c r="J762" i="15"/>
  <c r="I762" i="15"/>
  <c r="H762" i="15"/>
  <c r="G762" i="15"/>
  <c r="F762" i="15"/>
  <c r="E762" i="15"/>
  <c r="D762" i="15"/>
  <c r="C762" i="15"/>
  <c r="B762" i="15"/>
  <c r="N761" i="15"/>
  <c r="M761" i="15"/>
  <c r="L761" i="15"/>
  <c r="K761" i="15"/>
  <c r="J761" i="15"/>
  <c r="I761" i="15"/>
  <c r="H761" i="15"/>
  <c r="G761" i="15"/>
  <c r="F761" i="15"/>
  <c r="E761" i="15"/>
  <c r="D761" i="15"/>
  <c r="C761" i="15"/>
  <c r="B761" i="15"/>
  <c r="N760" i="15"/>
  <c r="M760" i="15"/>
  <c r="L760" i="15"/>
  <c r="K760" i="15"/>
  <c r="J760" i="15"/>
  <c r="I760" i="15"/>
  <c r="H760" i="15"/>
  <c r="G760" i="15"/>
  <c r="F760" i="15"/>
  <c r="E760" i="15"/>
  <c r="D760" i="15"/>
  <c r="C760" i="15"/>
  <c r="B760" i="15"/>
  <c r="N759" i="15"/>
  <c r="M759" i="15"/>
  <c r="L759" i="15"/>
  <c r="K759" i="15"/>
  <c r="J759" i="15"/>
  <c r="I759" i="15"/>
  <c r="H759" i="15"/>
  <c r="G759" i="15"/>
  <c r="F759" i="15"/>
  <c r="E759" i="15"/>
  <c r="D759" i="15"/>
  <c r="C759" i="15"/>
  <c r="B759" i="15"/>
  <c r="N758" i="15"/>
  <c r="M758" i="15"/>
  <c r="L758" i="15"/>
  <c r="K758" i="15"/>
  <c r="J758" i="15"/>
  <c r="I758" i="15"/>
  <c r="H758" i="15"/>
  <c r="G758" i="15"/>
  <c r="F758" i="15"/>
  <c r="E758" i="15"/>
  <c r="D758" i="15"/>
  <c r="C758" i="15"/>
  <c r="B758" i="15"/>
  <c r="N757" i="15"/>
  <c r="M757" i="15"/>
  <c r="L757" i="15"/>
  <c r="K757" i="15"/>
  <c r="J757" i="15"/>
  <c r="I757" i="15"/>
  <c r="H757" i="15"/>
  <c r="G757" i="15"/>
  <c r="F757" i="15"/>
  <c r="E757" i="15"/>
  <c r="D757" i="15"/>
  <c r="C757" i="15"/>
  <c r="B757" i="15"/>
  <c r="N756" i="15"/>
  <c r="M756" i="15"/>
  <c r="L756" i="15"/>
  <c r="K756" i="15"/>
  <c r="J756" i="15"/>
  <c r="I756" i="15"/>
  <c r="H756" i="15"/>
  <c r="G756" i="15"/>
  <c r="F756" i="15"/>
  <c r="E756" i="15"/>
  <c r="D756" i="15"/>
  <c r="C756" i="15"/>
  <c r="B756" i="15"/>
  <c r="N755" i="15"/>
  <c r="M755" i="15"/>
  <c r="L755" i="15"/>
  <c r="K755" i="15"/>
  <c r="J755" i="15"/>
  <c r="I755" i="15"/>
  <c r="H755" i="15"/>
  <c r="G755" i="15"/>
  <c r="F755" i="15"/>
  <c r="E755" i="15"/>
  <c r="D755" i="15"/>
  <c r="C755" i="15"/>
  <c r="B755" i="15"/>
  <c r="N754" i="15"/>
  <c r="M754" i="15"/>
  <c r="L754" i="15"/>
  <c r="K754" i="15"/>
  <c r="J754" i="15"/>
  <c r="I754" i="15"/>
  <c r="H754" i="15"/>
  <c r="G754" i="15"/>
  <c r="F754" i="15"/>
  <c r="E754" i="15"/>
  <c r="D754" i="15"/>
  <c r="C754" i="15"/>
  <c r="B754" i="15"/>
  <c r="N753" i="15"/>
  <c r="M753" i="15"/>
  <c r="L753" i="15"/>
  <c r="K753" i="15"/>
  <c r="J753" i="15"/>
  <c r="I753" i="15"/>
  <c r="H753" i="15"/>
  <c r="G753" i="15"/>
  <c r="F753" i="15"/>
  <c r="E753" i="15"/>
  <c r="D753" i="15"/>
  <c r="C753" i="15"/>
  <c r="B753" i="15"/>
  <c r="N752" i="15"/>
  <c r="M752" i="15"/>
  <c r="L752" i="15"/>
  <c r="K752" i="15"/>
  <c r="J752" i="15"/>
  <c r="I752" i="15"/>
  <c r="H752" i="15"/>
  <c r="G752" i="15"/>
  <c r="F752" i="15"/>
  <c r="E752" i="15"/>
  <c r="D752" i="15"/>
  <c r="C752" i="15"/>
  <c r="B752" i="15"/>
  <c r="N751" i="15"/>
  <c r="M751" i="15"/>
  <c r="L751" i="15"/>
  <c r="K751" i="15"/>
  <c r="J751" i="15"/>
  <c r="I751" i="15"/>
  <c r="H751" i="15"/>
  <c r="G751" i="15"/>
  <c r="F751" i="15"/>
  <c r="E751" i="15"/>
  <c r="D751" i="15"/>
  <c r="C751" i="15"/>
  <c r="B751" i="15"/>
  <c r="N750" i="15"/>
  <c r="M750" i="15"/>
  <c r="L750" i="15"/>
  <c r="K750" i="15"/>
  <c r="J750" i="15"/>
  <c r="I750" i="15"/>
  <c r="H750" i="15"/>
  <c r="G750" i="15"/>
  <c r="F750" i="15"/>
  <c r="E750" i="15"/>
  <c r="D750" i="15"/>
  <c r="C750" i="15"/>
  <c r="B750" i="15"/>
  <c r="N749" i="15"/>
  <c r="M749" i="15"/>
  <c r="L749" i="15"/>
  <c r="K749" i="15"/>
  <c r="J749" i="15"/>
  <c r="I749" i="15"/>
  <c r="H749" i="15"/>
  <c r="G749" i="15"/>
  <c r="F749" i="15"/>
  <c r="E749" i="15"/>
  <c r="D749" i="15"/>
  <c r="C749" i="15"/>
  <c r="B749" i="15"/>
  <c r="N748" i="15"/>
  <c r="M748" i="15"/>
  <c r="L748" i="15"/>
  <c r="K748" i="15"/>
  <c r="J748" i="15"/>
  <c r="I748" i="15"/>
  <c r="H748" i="15"/>
  <c r="G748" i="15"/>
  <c r="F748" i="15"/>
  <c r="E748" i="15"/>
  <c r="D748" i="15"/>
  <c r="C748" i="15"/>
  <c r="B748" i="15"/>
  <c r="N747" i="15"/>
  <c r="M747" i="15"/>
  <c r="L747" i="15"/>
  <c r="K747" i="15"/>
  <c r="J747" i="15"/>
  <c r="I747" i="15"/>
  <c r="H747" i="15"/>
  <c r="G747" i="15"/>
  <c r="F747" i="15"/>
  <c r="E747" i="15"/>
  <c r="D747" i="15"/>
  <c r="C747" i="15"/>
  <c r="B747" i="15"/>
  <c r="N746" i="15"/>
  <c r="M746" i="15"/>
  <c r="L746" i="15"/>
  <c r="K746" i="15"/>
  <c r="J746" i="15"/>
  <c r="I746" i="15"/>
  <c r="H746" i="15"/>
  <c r="G746" i="15"/>
  <c r="F746" i="15"/>
  <c r="E746" i="15"/>
  <c r="D746" i="15"/>
  <c r="C746" i="15"/>
  <c r="B746" i="15"/>
  <c r="N745" i="15"/>
  <c r="M745" i="15"/>
  <c r="L745" i="15"/>
  <c r="K745" i="15"/>
  <c r="J745" i="15"/>
  <c r="I745" i="15"/>
  <c r="H745" i="15"/>
  <c r="G745" i="15"/>
  <c r="F745" i="15"/>
  <c r="E745" i="15"/>
  <c r="D745" i="15"/>
  <c r="C745" i="15"/>
  <c r="B745" i="15"/>
  <c r="N744" i="15"/>
  <c r="M744" i="15"/>
  <c r="L744" i="15"/>
  <c r="K744" i="15"/>
  <c r="J744" i="15"/>
  <c r="I744" i="15"/>
  <c r="H744" i="15"/>
  <c r="G744" i="15"/>
  <c r="F744" i="15"/>
  <c r="E744" i="15"/>
  <c r="D744" i="15"/>
  <c r="C744" i="15"/>
  <c r="B744" i="15"/>
  <c r="N743" i="15"/>
  <c r="M743" i="15"/>
  <c r="L743" i="15"/>
  <c r="K743" i="15"/>
  <c r="J743" i="15"/>
  <c r="I743" i="15"/>
  <c r="H743" i="15"/>
  <c r="G743" i="15"/>
  <c r="F743" i="15"/>
  <c r="E743" i="15"/>
  <c r="D743" i="15"/>
  <c r="C743" i="15"/>
  <c r="B743" i="15"/>
  <c r="N742" i="15"/>
  <c r="M742" i="15"/>
  <c r="L742" i="15"/>
  <c r="K742" i="15"/>
  <c r="J742" i="15"/>
  <c r="I742" i="15"/>
  <c r="H742" i="15"/>
  <c r="G742" i="15"/>
  <c r="F742" i="15"/>
  <c r="E742" i="15"/>
  <c r="D742" i="15"/>
  <c r="C742" i="15"/>
  <c r="B742" i="15"/>
  <c r="N741" i="15"/>
  <c r="M741" i="15"/>
  <c r="L741" i="15"/>
  <c r="K741" i="15"/>
  <c r="J741" i="15"/>
  <c r="I741" i="15"/>
  <c r="H741" i="15"/>
  <c r="G741" i="15"/>
  <c r="F741" i="15"/>
  <c r="E741" i="15"/>
  <c r="D741" i="15"/>
  <c r="C741" i="15"/>
  <c r="B741" i="15"/>
  <c r="N740" i="15"/>
  <c r="M740" i="15"/>
  <c r="L740" i="15"/>
  <c r="K740" i="15"/>
  <c r="J740" i="15"/>
  <c r="I740" i="15"/>
  <c r="H740" i="15"/>
  <c r="G740" i="15"/>
  <c r="F740" i="15"/>
  <c r="E740" i="15"/>
  <c r="D740" i="15"/>
  <c r="C740" i="15"/>
  <c r="B740" i="15"/>
  <c r="N739" i="15"/>
  <c r="M739" i="15"/>
  <c r="L739" i="15"/>
  <c r="K739" i="15"/>
  <c r="J739" i="15"/>
  <c r="I739" i="15"/>
  <c r="H739" i="15"/>
  <c r="G739" i="15"/>
  <c r="F739" i="15"/>
  <c r="E739" i="15"/>
  <c r="D739" i="15"/>
  <c r="C739" i="15"/>
  <c r="B739" i="15"/>
  <c r="N738" i="15"/>
  <c r="M738" i="15"/>
  <c r="L738" i="15"/>
  <c r="K738" i="15"/>
  <c r="J738" i="15"/>
  <c r="I738" i="15"/>
  <c r="H738" i="15"/>
  <c r="G738" i="15"/>
  <c r="F738" i="15"/>
  <c r="E738" i="15"/>
  <c r="D738" i="15"/>
  <c r="C738" i="15"/>
  <c r="B738" i="15"/>
  <c r="N737" i="15"/>
  <c r="M737" i="15"/>
  <c r="L737" i="15"/>
  <c r="K737" i="15"/>
  <c r="J737" i="15"/>
  <c r="I737" i="15"/>
  <c r="H737" i="15"/>
  <c r="G737" i="15"/>
  <c r="F737" i="15"/>
  <c r="E737" i="15"/>
  <c r="D737" i="15"/>
  <c r="C737" i="15"/>
  <c r="B737" i="15"/>
  <c r="N736" i="15"/>
  <c r="M736" i="15"/>
  <c r="L736" i="15"/>
  <c r="K736" i="15"/>
  <c r="J736" i="15"/>
  <c r="I736" i="15"/>
  <c r="H736" i="15"/>
  <c r="G736" i="15"/>
  <c r="F736" i="15"/>
  <c r="E736" i="15"/>
  <c r="D736" i="15"/>
  <c r="C736" i="15"/>
  <c r="B736" i="15"/>
  <c r="N735" i="15"/>
  <c r="M735" i="15"/>
  <c r="L735" i="15"/>
  <c r="K735" i="15"/>
  <c r="J735" i="15"/>
  <c r="I735" i="15"/>
  <c r="H735" i="15"/>
  <c r="G735" i="15"/>
  <c r="F735" i="15"/>
  <c r="E735" i="15"/>
  <c r="D735" i="15"/>
  <c r="C735" i="15"/>
  <c r="B735" i="15"/>
  <c r="N734" i="15"/>
  <c r="M734" i="15"/>
  <c r="L734" i="15"/>
  <c r="K734" i="15"/>
  <c r="J734" i="15"/>
  <c r="I734" i="15"/>
  <c r="H734" i="15"/>
  <c r="G734" i="15"/>
  <c r="F734" i="15"/>
  <c r="E734" i="15"/>
  <c r="D734" i="15"/>
  <c r="C734" i="15"/>
  <c r="B734" i="15"/>
  <c r="N733" i="15"/>
  <c r="M733" i="15"/>
  <c r="L733" i="15"/>
  <c r="K733" i="15"/>
  <c r="J733" i="15"/>
  <c r="I733" i="15"/>
  <c r="H733" i="15"/>
  <c r="G733" i="15"/>
  <c r="F733" i="15"/>
  <c r="E733" i="15"/>
  <c r="D733" i="15"/>
  <c r="C733" i="15"/>
  <c r="B733" i="15"/>
  <c r="N732" i="15"/>
  <c r="M732" i="15"/>
  <c r="L732" i="15"/>
  <c r="K732" i="15"/>
  <c r="J732" i="15"/>
  <c r="I732" i="15"/>
  <c r="H732" i="15"/>
  <c r="G732" i="15"/>
  <c r="F732" i="15"/>
  <c r="E732" i="15"/>
  <c r="D732" i="15"/>
  <c r="C732" i="15"/>
  <c r="B732" i="15"/>
  <c r="N731" i="15"/>
  <c r="M731" i="15"/>
  <c r="L731" i="15"/>
  <c r="K731" i="15"/>
  <c r="J731" i="15"/>
  <c r="I731" i="15"/>
  <c r="H731" i="15"/>
  <c r="G731" i="15"/>
  <c r="F731" i="15"/>
  <c r="E731" i="15"/>
  <c r="D731" i="15"/>
  <c r="C731" i="15"/>
  <c r="B731" i="15"/>
  <c r="N730" i="15"/>
  <c r="M730" i="15"/>
  <c r="L730" i="15"/>
  <c r="K730" i="15"/>
  <c r="J730" i="15"/>
  <c r="I730" i="15"/>
  <c r="H730" i="15"/>
  <c r="G730" i="15"/>
  <c r="F730" i="15"/>
  <c r="E730" i="15"/>
  <c r="D730" i="15"/>
  <c r="C730" i="15"/>
  <c r="B730" i="15"/>
  <c r="N729" i="15"/>
  <c r="M729" i="15"/>
  <c r="L729" i="15"/>
  <c r="K729" i="15"/>
  <c r="J729" i="15"/>
  <c r="I729" i="15"/>
  <c r="H729" i="15"/>
  <c r="G729" i="15"/>
  <c r="F729" i="15"/>
  <c r="E729" i="15"/>
  <c r="D729" i="15"/>
  <c r="C729" i="15"/>
  <c r="B729" i="15"/>
  <c r="N728" i="15"/>
  <c r="M728" i="15"/>
  <c r="L728" i="15"/>
  <c r="K728" i="15"/>
  <c r="J728" i="15"/>
  <c r="I728" i="15"/>
  <c r="H728" i="15"/>
  <c r="G728" i="15"/>
  <c r="F728" i="15"/>
  <c r="E728" i="15"/>
  <c r="D728" i="15"/>
  <c r="C728" i="15"/>
  <c r="B728" i="15"/>
  <c r="N727" i="15"/>
  <c r="M727" i="15"/>
  <c r="L727" i="15"/>
  <c r="K727" i="15"/>
  <c r="J727" i="15"/>
  <c r="I727" i="15"/>
  <c r="H727" i="15"/>
  <c r="G727" i="15"/>
  <c r="F727" i="15"/>
  <c r="E727" i="15"/>
  <c r="D727" i="15"/>
  <c r="C727" i="15"/>
  <c r="B727" i="15"/>
  <c r="N726" i="15"/>
  <c r="M726" i="15"/>
  <c r="L726" i="15"/>
  <c r="K726" i="15"/>
  <c r="J726" i="15"/>
  <c r="I726" i="15"/>
  <c r="H726" i="15"/>
  <c r="G726" i="15"/>
  <c r="F726" i="15"/>
  <c r="E726" i="15"/>
  <c r="D726" i="15"/>
  <c r="C726" i="15"/>
  <c r="B726" i="15"/>
  <c r="N725" i="15"/>
  <c r="M725" i="15"/>
  <c r="L725" i="15"/>
  <c r="K725" i="15"/>
  <c r="J725" i="15"/>
  <c r="I725" i="15"/>
  <c r="H725" i="15"/>
  <c r="G725" i="15"/>
  <c r="F725" i="15"/>
  <c r="E725" i="15"/>
  <c r="D725" i="15"/>
  <c r="C725" i="15"/>
  <c r="B725" i="15"/>
  <c r="N724" i="15"/>
  <c r="M724" i="15"/>
  <c r="L724" i="15"/>
  <c r="K724" i="15"/>
  <c r="J724" i="15"/>
  <c r="I724" i="15"/>
  <c r="H724" i="15"/>
  <c r="G724" i="15"/>
  <c r="F724" i="15"/>
  <c r="E724" i="15"/>
  <c r="D724" i="15"/>
  <c r="C724" i="15"/>
  <c r="B724" i="15"/>
  <c r="N723" i="15"/>
  <c r="M723" i="15"/>
  <c r="L723" i="15"/>
  <c r="K723" i="15"/>
  <c r="J723" i="15"/>
  <c r="I723" i="15"/>
  <c r="H723" i="15"/>
  <c r="G723" i="15"/>
  <c r="F723" i="15"/>
  <c r="E723" i="15"/>
  <c r="D723" i="15"/>
  <c r="C723" i="15"/>
  <c r="B723" i="15"/>
  <c r="N722" i="15"/>
  <c r="M722" i="15"/>
  <c r="L722" i="15"/>
  <c r="K722" i="15"/>
  <c r="J722" i="15"/>
  <c r="I722" i="15"/>
  <c r="H722" i="15"/>
  <c r="G722" i="15"/>
  <c r="F722" i="15"/>
  <c r="E722" i="15"/>
  <c r="D722" i="15"/>
  <c r="C722" i="15"/>
  <c r="B722" i="15"/>
  <c r="N721" i="15"/>
  <c r="M721" i="15"/>
  <c r="L721" i="15"/>
  <c r="K721" i="15"/>
  <c r="J721" i="15"/>
  <c r="I721" i="15"/>
  <c r="H721" i="15"/>
  <c r="G721" i="15"/>
  <c r="F721" i="15"/>
  <c r="E721" i="15"/>
  <c r="D721" i="15"/>
  <c r="C721" i="15"/>
  <c r="B721" i="15"/>
  <c r="N720" i="15"/>
  <c r="M720" i="15"/>
  <c r="L720" i="15"/>
  <c r="K720" i="15"/>
  <c r="J720" i="15"/>
  <c r="I720" i="15"/>
  <c r="H720" i="15"/>
  <c r="G720" i="15"/>
  <c r="F720" i="15"/>
  <c r="E720" i="15"/>
  <c r="D720" i="15"/>
  <c r="C720" i="15"/>
  <c r="B720" i="15"/>
  <c r="N719" i="15"/>
  <c r="M719" i="15"/>
  <c r="L719" i="15"/>
  <c r="K719" i="15"/>
  <c r="J719" i="15"/>
  <c r="I719" i="15"/>
  <c r="H719" i="15"/>
  <c r="G719" i="15"/>
  <c r="F719" i="15"/>
  <c r="E719" i="15"/>
  <c r="D719" i="15"/>
  <c r="C719" i="15"/>
  <c r="B719" i="15"/>
  <c r="N718" i="15"/>
  <c r="M718" i="15"/>
  <c r="L718" i="15"/>
  <c r="K718" i="15"/>
  <c r="J718" i="15"/>
  <c r="I718" i="15"/>
  <c r="H718" i="15"/>
  <c r="G718" i="15"/>
  <c r="F718" i="15"/>
  <c r="E718" i="15"/>
  <c r="D718" i="15"/>
  <c r="C718" i="15"/>
  <c r="B718" i="15"/>
  <c r="N717" i="15"/>
  <c r="M717" i="15"/>
  <c r="L717" i="15"/>
  <c r="K717" i="15"/>
  <c r="J717" i="15"/>
  <c r="I717" i="15"/>
  <c r="H717" i="15"/>
  <c r="G717" i="15"/>
  <c r="F717" i="15"/>
  <c r="E717" i="15"/>
  <c r="D717" i="15"/>
  <c r="C717" i="15"/>
  <c r="B717" i="15"/>
  <c r="N716" i="15"/>
  <c r="M716" i="15"/>
  <c r="L716" i="15"/>
  <c r="K716" i="15"/>
  <c r="J716" i="15"/>
  <c r="I716" i="15"/>
  <c r="H716" i="15"/>
  <c r="G716" i="15"/>
  <c r="F716" i="15"/>
  <c r="E716" i="15"/>
  <c r="D716" i="15"/>
  <c r="C716" i="15"/>
  <c r="B716" i="15"/>
  <c r="N715" i="15"/>
  <c r="M715" i="15"/>
  <c r="L715" i="15"/>
  <c r="K715" i="15"/>
  <c r="J715" i="15"/>
  <c r="I715" i="15"/>
  <c r="H715" i="15"/>
  <c r="G715" i="15"/>
  <c r="F715" i="15"/>
  <c r="E715" i="15"/>
  <c r="D715" i="15"/>
  <c r="C715" i="15"/>
  <c r="B715" i="15"/>
  <c r="N714" i="15"/>
  <c r="M714" i="15"/>
  <c r="L714" i="15"/>
  <c r="K714" i="15"/>
  <c r="J714" i="15"/>
  <c r="I714" i="15"/>
  <c r="H714" i="15"/>
  <c r="G714" i="15"/>
  <c r="F714" i="15"/>
  <c r="E714" i="15"/>
  <c r="D714" i="15"/>
  <c r="C714" i="15"/>
  <c r="B714" i="15"/>
  <c r="N713" i="15"/>
  <c r="M713" i="15"/>
  <c r="L713" i="15"/>
  <c r="K713" i="15"/>
  <c r="J713" i="15"/>
  <c r="I713" i="15"/>
  <c r="H713" i="15"/>
  <c r="G713" i="15"/>
  <c r="F713" i="15"/>
  <c r="E713" i="15"/>
  <c r="D713" i="15"/>
  <c r="C713" i="15"/>
  <c r="B713" i="15"/>
  <c r="N712" i="15"/>
  <c r="M712" i="15"/>
  <c r="L712" i="15"/>
  <c r="K712" i="15"/>
  <c r="J712" i="15"/>
  <c r="I712" i="15"/>
  <c r="H712" i="15"/>
  <c r="G712" i="15"/>
  <c r="F712" i="15"/>
  <c r="E712" i="15"/>
  <c r="D712" i="15"/>
  <c r="C712" i="15"/>
  <c r="B712" i="15"/>
  <c r="N711" i="15"/>
  <c r="M711" i="15"/>
  <c r="L711" i="15"/>
  <c r="K711" i="15"/>
  <c r="J711" i="15"/>
  <c r="I711" i="15"/>
  <c r="H711" i="15"/>
  <c r="G711" i="15"/>
  <c r="F711" i="15"/>
  <c r="E711" i="15"/>
  <c r="D711" i="15"/>
  <c r="C711" i="15"/>
  <c r="B711" i="15"/>
  <c r="N710" i="15"/>
  <c r="M710" i="15"/>
  <c r="L710" i="15"/>
  <c r="K710" i="15"/>
  <c r="J710" i="15"/>
  <c r="I710" i="15"/>
  <c r="H710" i="15"/>
  <c r="G710" i="15"/>
  <c r="F710" i="15"/>
  <c r="E710" i="15"/>
  <c r="D710" i="15"/>
  <c r="C710" i="15"/>
  <c r="B710" i="15"/>
  <c r="N709" i="15"/>
  <c r="M709" i="15"/>
  <c r="L709" i="15"/>
  <c r="K709" i="15"/>
  <c r="J709" i="15"/>
  <c r="I709" i="15"/>
  <c r="H709" i="15"/>
  <c r="G709" i="15"/>
  <c r="F709" i="15"/>
  <c r="E709" i="15"/>
  <c r="D709" i="15"/>
  <c r="C709" i="15"/>
  <c r="B709" i="15"/>
  <c r="N708" i="15"/>
  <c r="M708" i="15"/>
  <c r="L708" i="15"/>
  <c r="K708" i="15"/>
  <c r="J708" i="15"/>
  <c r="I708" i="15"/>
  <c r="H708" i="15"/>
  <c r="G708" i="15"/>
  <c r="F708" i="15"/>
  <c r="E708" i="15"/>
  <c r="D708" i="15"/>
  <c r="C708" i="15"/>
  <c r="B708" i="15"/>
  <c r="N707" i="15"/>
  <c r="M707" i="15"/>
  <c r="L707" i="15"/>
  <c r="K707" i="15"/>
  <c r="J707" i="15"/>
  <c r="I707" i="15"/>
  <c r="H707" i="15"/>
  <c r="G707" i="15"/>
  <c r="F707" i="15"/>
  <c r="E707" i="15"/>
  <c r="D707" i="15"/>
  <c r="C707" i="15"/>
  <c r="B707" i="15"/>
  <c r="N706" i="15"/>
  <c r="M706" i="15"/>
  <c r="L706" i="15"/>
  <c r="K706" i="15"/>
  <c r="J706" i="15"/>
  <c r="I706" i="15"/>
  <c r="H706" i="15"/>
  <c r="G706" i="15"/>
  <c r="F706" i="15"/>
  <c r="E706" i="15"/>
  <c r="D706" i="15"/>
  <c r="C706" i="15"/>
  <c r="B706" i="15"/>
  <c r="N705" i="15"/>
  <c r="M705" i="15"/>
  <c r="L705" i="15"/>
  <c r="K705" i="15"/>
  <c r="J705" i="15"/>
  <c r="I705" i="15"/>
  <c r="H705" i="15"/>
  <c r="G705" i="15"/>
  <c r="F705" i="15"/>
  <c r="E705" i="15"/>
  <c r="D705" i="15"/>
  <c r="C705" i="15"/>
  <c r="B705" i="15"/>
  <c r="N704" i="15"/>
  <c r="M704" i="15"/>
  <c r="L704" i="15"/>
  <c r="K704" i="15"/>
  <c r="J704" i="15"/>
  <c r="I704" i="15"/>
  <c r="H704" i="15"/>
  <c r="G704" i="15"/>
  <c r="F704" i="15"/>
  <c r="E704" i="15"/>
  <c r="D704" i="15"/>
  <c r="C704" i="15"/>
  <c r="B704" i="15"/>
  <c r="N703" i="15"/>
  <c r="M703" i="15"/>
  <c r="L703" i="15"/>
  <c r="K703" i="15"/>
  <c r="J703" i="15"/>
  <c r="I703" i="15"/>
  <c r="H703" i="15"/>
  <c r="G703" i="15"/>
  <c r="F703" i="15"/>
  <c r="E703" i="15"/>
  <c r="D703" i="15"/>
  <c r="C703" i="15"/>
  <c r="B703" i="15"/>
  <c r="N702" i="15"/>
  <c r="M702" i="15"/>
  <c r="L702" i="15"/>
  <c r="K702" i="15"/>
  <c r="J702" i="15"/>
  <c r="I702" i="15"/>
  <c r="H702" i="15"/>
  <c r="G702" i="15"/>
  <c r="F702" i="15"/>
  <c r="E702" i="15"/>
  <c r="D702" i="15"/>
  <c r="C702" i="15"/>
  <c r="B702" i="15"/>
  <c r="N701" i="15"/>
  <c r="M701" i="15"/>
  <c r="L701" i="15"/>
  <c r="K701" i="15"/>
  <c r="J701" i="15"/>
  <c r="I701" i="15"/>
  <c r="H701" i="15"/>
  <c r="G701" i="15"/>
  <c r="F701" i="15"/>
  <c r="E701" i="15"/>
  <c r="D701" i="15"/>
  <c r="C701" i="15"/>
  <c r="B701" i="15"/>
  <c r="N700" i="15"/>
  <c r="M700" i="15"/>
  <c r="L700" i="15"/>
  <c r="K700" i="15"/>
  <c r="J700" i="15"/>
  <c r="I700" i="15"/>
  <c r="H700" i="15"/>
  <c r="G700" i="15"/>
  <c r="F700" i="15"/>
  <c r="E700" i="15"/>
  <c r="D700" i="15"/>
  <c r="C700" i="15"/>
  <c r="B700" i="15"/>
  <c r="N699" i="15"/>
  <c r="M699" i="15"/>
  <c r="L699" i="15"/>
  <c r="K699" i="15"/>
  <c r="J699" i="15"/>
  <c r="I699" i="15"/>
  <c r="H699" i="15"/>
  <c r="G699" i="15"/>
  <c r="F699" i="15"/>
  <c r="E699" i="15"/>
  <c r="D699" i="15"/>
  <c r="C699" i="15"/>
  <c r="B699" i="15"/>
  <c r="N698" i="15"/>
  <c r="M698" i="15"/>
  <c r="L698" i="15"/>
  <c r="K698" i="15"/>
  <c r="J698" i="15"/>
  <c r="I698" i="15"/>
  <c r="H698" i="15"/>
  <c r="G698" i="15"/>
  <c r="F698" i="15"/>
  <c r="E698" i="15"/>
  <c r="D698" i="15"/>
  <c r="C698" i="15"/>
  <c r="B698" i="15"/>
  <c r="N697" i="15"/>
  <c r="M697" i="15"/>
  <c r="L697" i="15"/>
  <c r="K697" i="15"/>
  <c r="J697" i="15"/>
  <c r="I697" i="15"/>
  <c r="H697" i="15"/>
  <c r="G697" i="15"/>
  <c r="F697" i="15"/>
  <c r="E697" i="15"/>
  <c r="D697" i="15"/>
  <c r="C697" i="15"/>
  <c r="B697" i="15"/>
  <c r="N696" i="15"/>
  <c r="M696" i="15"/>
  <c r="L696" i="15"/>
  <c r="K696" i="15"/>
  <c r="J696" i="15"/>
  <c r="I696" i="15"/>
  <c r="H696" i="15"/>
  <c r="G696" i="15"/>
  <c r="F696" i="15"/>
  <c r="E696" i="15"/>
  <c r="D696" i="15"/>
  <c r="C696" i="15"/>
  <c r="B696" i="15"/>
  <c r="N695" i="15"/>
  <c r="M695" i="15"/>
  <c r="L695" i="15"/>
  <c r="K695" i="15"/>
  <c r="J695" i="15"/>
  <c r="I695" i="15"/>
  <c r="H695" i="15"/>
  <c r="G695" i="15"/>
  <c r="F695" i="15"/>
  <c r="E695" i="15"/>
  <c r="D695" i="15"/>
  <c r="C695" i="15"/>
  <c r="B695" i="15"/>
  <c r="N694" i="15"/>
  <c r="M694" i="15"/>
  <c r="L694" i="15"/>
  <c r="K694" i="15"/>
  <c r="J694" i="15"/>
  <c r="I694" i="15"/>
  <c r="H694" i="15"/>
  <c r="G694" i="15"/>
  <c r="F694" i="15"/>
  <c r="E694" i="15"/>
  <c r="D694" i="15"/>
  <c r="C694" i="15"/>
  <c r="B694" i="15"/>
  <c r="N693" i="15"/>
  <c r="M693" i="15"/>
  <c r="L693" i="15"/>
  <c r="K693" i="15"/>
  <c r="J693" i="15"/>
  <c r="I693" i="15"/>
  <c r="H693" i="15"/>
  <c r="G693" i="15"/>
  <c r="F693" i="15"/>
  <c r="E693" i="15"/>
  <c r="D693" i="15"/>
  <c r="C693" i="15"/>
  <c r="B693" i="15"/>
  <c r="N692" i="15"/>
  <c r="M692" i="15"/>
  <c r="L692" i="15"/>
  <c r="K692" i="15"/>
  <c r="J692" i="15"/>
  <c r="I692" i="15"/>
  <c r="H692" i="15"/>
  <c r="G692" i="15"/>
  <c r="F692" i="15"/>
  <c r="E692" i="15"/>
  <c r="D692" i="15"/>
  <c r="C692" i="15"/>
  <c r="B692" i="15"/>
  <c r="N691" i="15"/>
  <c r="M691" i="15"/>
  <c r="L691" i="15"/>
  <c r="K691" i="15"/>
  <c r="J691" i="15"/>
  <c r="I691" i="15"/>
  <c r="H691" i="15"/>
  <c r="G691" i="15"/>
  <c r="F691" i="15"/>
  <c r="E691" i="15"/>
  <c r="D691" i="15"/>
  <c r="C691" i="15"/>
  <c r="B691" i="15"/>
  <c r="N690" i="15"/>
  <c r="M690" i="15"/>
  <c r="L690" i="15"/>
  <c r="K690" i="15"/>
  <c r="J690" i="15"/>
  <c r="I690" i="15"/>
  <c r="H690" i="15"/>
  <c r="G690" i="15"/>
  <c r="F690" i="15"/>
  <c r="E690" i="15"/>
  <c r="D690" i="15"/>
  <c r="C690" i="15"/>
  <c r="B690" i="15"/>
  <c r="N689" i="15"/>
  <c r="M689" i="15"/>
  <c r="L689" i="15"/>
  <c r="K689" i="15"/>
  <c r="J689" i="15"/>
  <c r="I689" i="15"/>
  <c r="H689" i="15"/>
  <c r="G689" i="15"/>
  <c r="F689" i="15"/>
  <c r="E689" i="15"/>
  <c r="D689" i="15"/>
  <c r="C689" i="15"/>
  <c r="B689" i="15"/>
  <c r="N688" i="15"/>
  <c r="M688" i="15"/>
  <c r="L688" i="15"/>
  <c r="K688" i="15"/>
  <c r="J688" i="15"/>
  <c r="I688" i="15"/>
  <c r="H688" i="15"/>
  <c r="G688" i="15"/>
  <c r="F688" i="15"/>
  <c r="E688" i="15"/>
  <c r="D688" i="15"/>
  <c r="C688" i="15"/>
  <c r="B688" i="15"/>
  <c r="N687" i="15"/>
  <c r="M687" i="15"/>
  <c r="L687" i="15"/>
  <c r="K687" i="15"/>
  <c r="J687" i="15"/>
  <c r="I687" i="15"/>
  <c r="H687" i="15"/>
  <c r="G687" i="15"/>
  <c r="F687" i="15"/>
  <c r="E687" i="15"/>
  <c r="D687" i="15"/>
  <c r="C687" i="15"/>
  <c r="B687" i="15"/>
  <c r="N686" i="15"/>
  <c r="M686" i="15"/>
  <c r="L686" i="15"/>
  <c r="K686" i="15"/>
  <c r="J686" i="15"/>
  <c r="I686" i="15"/>
  <c r="H686" i="15"/>
  <c r="G686" i="15"/>
  <c r="F686" i="15"/>
  <c r="E686" i="15"/>
  <c r="D686" i="15"/>
  <c r="C686" i="15"/>
  <c r="B686" i="15"/>
  <c r="N685" i="15"/>
  <c r="M685" i="15"/>
  <c r="L685" i="15"/>
  <c r="K685" i="15"/>
  <c r="J685" i="15"/>
  <c r="I685" i="15"/>
  <c r="H685" i="15"/>
  <c r="G685" i="15"/>
  <c r="F685" i="15"/>
  <c r="E685" i="15"/>
  <c r="D685" i="15"/>
  <c r="C685" i="15"/>
  <c r="B685" i="15"/>
  <c r="N684" i="15"/>
  <c r="M684" i="15"/>
  <c r="L684" i="15"/>
  <c r="K684" i="15"/>
  <c r="J684" i="15"/>
  <c r="I684" i="15"/>
  <c r="H684" i="15"/>
  <c r="G684" i="15"/>
  <c r="F684" i="15"/>
  <c r="E684" i="15"/>
  <c r="D684" i="15"/>
  <c r="C684" i="15"/>
  <c r="B684" i="15"/>
  <c r="N683" i="15"/>
  <c r="M683" i="15"/>
  <c r="L683" i="15"/>
  <c r="K683" i="15"/>
  <c r="J683" i="15"/>
  <c r="I683" i="15"/>
  <c r="H683" i="15"/>
  <c r="G683" i="15"/>
  <c r="F683" i="15"/>
  <c r="E683" i="15"/>
  <c r="D683" i="15"/>
  <c r="C683" i="15"/>
  <c r="B683" i="15"/>
  <c r="N682" i="15"/>
  <c r="M682" i="15"/>
  <c r="L682" i="15"/>
  <c r="K682" i="15"/>
  <c r="J682" i="15"/>
  <c r="I682" i="15"/>
  <c r="H682" i="15"/>
  <c r="G682" i="15"/>
  <c r="F682" i="15"/>
  <c r="E682" i="15"/>
  <c r="D682" i="15"/>
  <c r="C682" i="15"/>
  <c r="B682" i="15"/>
  <c r="N681" i="15"/>
  <c r="M681" i="15"/>
  <c r="L681" i="15"/>
  <c r="K681" i="15"/>
  <c r="J681" i="15"/>
  <c r="I681" i="15"/>
  <c r="H681" i="15"/>
  <c r="G681" i="15"/>
  <c r="F681" i="15"/>
  <c r="E681" i="15"/>
  <c r="D681" i="15"/>
  <c r="C681" i="15"/>
  <c r="B681" i="15"/>
  <c r="N680" i="15"/>
  <c r="M680" i="15"/>
  <c r="L680" i="15"/>
  <c r="K680" i="15"/>
  <c r="J680" i="15"/>
  <c r="I680" i="15"/>
  <c r="H680" i="15"/>
  <c r="G680" i="15"/>
  <c r="F680" i="15"/>
  <c r="E680" i="15"/>
  <c r="D680" i="15"/>
  <c r="C680" i="15"/>
  <c r="B680" i="15"/>
  <c r="N679" i="15"/>
  <c r="M679" i="15"/>
  <c r="L679" i="15"/>
  <c r="K679" i="15"/>
  <c r="J679" i="15"/>
  <c r="I679" i="15"/>
  <c r="H679" i="15"/>
  <c r="G679" i="15"/>
  <c r="F679" i="15"/>
  <c r="E679" i="15"/>
  <c r="D679" i="15"/>
  <c r="C679" i="15"/>
  <c r="B679" i="15"/>
  <c r="N678" i="15"/>
  <c r="M678" i="15"/>
  <c r="L678" i="15"/>
  <c r="K678" i="15"/>
  <c r="J678" i="15"/>
  <c r="I678" i="15"/>
  <c r="H678" i="15"/>
  <c r="G678" i="15"/>
  <c r="F678" i="15"/>
  <c r="E678" i="15"/>
  <c r="D678" i="15"/>
  <c r="C678" i="15"/>
  <c r="B678" i="15"/>
  <c r="N677" i="15"/>
  <c r="M677" i="15"/>
  <c r="L677" i="15"/>
  <c r="K677" i="15"/>
  <c r="J677" i="15"/>
  <c r="I677" i="15"/>
  <c r="H677" i="15"/>
  <c r="G677" i="15"/>
  <c r="F677" i="15"/>
  <c r="E677" i="15"/>
  <c r="D677" i="15"/>
  <c r="C677" i="15"/>
  <c r="B677" i="15"/>
  <c r="N676" i="15"/>
  <c r="M676" i="15"/>
  <c r="L676" i="15"/>
  <c r="K676" i="15"/>
  <c r="J676" i="15"/>
  <c r="I676" i="15"/>
  <c r="H676" i="15"/>
  <c r="G676" i="15"/>
  <c r="F676" i="15"/>
  <c r="E676" i="15"/>
  <c r="D676" i="15"/>
  <c r="C676" i="15"/>
  <c r="B676" i="15"/>
  <c r="N675" i="15"/>
  <c r="M675" i="15"/>
  <c r="L675" i="15"/>
  <c r="K675" i="15"/>
  <c r="J675" i="15"/>
  <c r="I675" i="15"/>
  <c r="H675" i="15"/>
  <c r="G675" i="15"/>
  <c r="F675" i="15"/>
  <c r="E675" i="15"/>
  <c r="D675" i="15"/>
  <c r="C675" i="15"/>
  <c r="B675" i="15"/>
  <c r="N674" i="15"/>
  <c r="M674" i="15"/>
  <c r="L674" i="15"/>
  <c r="K674" i="15"/>
  <c r="J674" i="15"/>
  <c r="I674" i="15"/>
  <c r="H674" i="15"/>
  <c r="G674" i="15"/>
  <c r="F674" i="15"/>
  <c r="E674" i="15"/>
  <c r="D674" i="15"/>
  <c r="C674" i="15"/>
  <c r="B674" i="15"/>
  <c r="N673" i="15"/>
  <c r="M673" i="15"/>
  <c r="L673" i="15"/>
  <c r="K673" i="15"/>
  <c r="J673" i="15"/>
  <c r="I673" i="15"/>
  <c r="H673" i="15"/>
  <c r="G673" i="15"/>
  <c r="F673" i="15"/>
  <c r="E673" i="15"/>
  <c r="D673" i="15"/>
  <c r="C673" i="15"/>
  <c r="B673" i="15"/>
  <c r="N672" i="15"/>
  <c r="M672" i="15"/>
  <c r="L672" i="15"/>
  <c r="K672" i="15"/>
  <c r="J672" i="15"/>
  <c r="I672" i="15"/>
  <c r="H672" i="15"/>
  <c r="G672" i="15"/>
  <c r="F672" i="15"/>
  <c r="E672" i="15"/>
  <c r="D672" i="15"/>
  <c r="C672" i="15"/>
  <c r="B672" i="15"/>
  <c r="N671" i="15"/>
  <c r="M671" i="15"/>
  <c r="L671" i="15"/>
  <c r="K671" i="15"/>
  <c r="J671" i="15"/>
  <c r="I671" i="15"/>
  <c r="H671" i="15"/>
  <c r="G671" i="15"/>
  <c r="F671" i="15"/>
  <c r="E671" i="15"/>
  <c r="D671" i="15"/>
  <c r="C671" i="15"/>
  <c r="B671" i="15"/>
  <c r="N670" i="15"/>
  <c r="M670" i="15"/>
  <c r="L670" i="15"/>
  <c r="K670" i="15"/>
  <c r="J670" i="15"/>
  <c r="I670" i="15"/>
  <c r="H670" i="15"/>
  <c r="G670" i="15"/>
  <c r="F670" i="15"/>
  <c r="E670" i="15"/>
  <c r="D670" i="15"/>
  <c r="C670" i="15"/>
  <c r="B670" i="15"/>
  <c r="N669" i="15"/>
  <c r="M669" i="15"/>
  <c r="L669" i="15"/>
  <c r="K669" i="15"/>
  <c r="J669" i="15"/>
  <c r="I669" i="15"/>
  <c r="H669" i="15"/>
  <c r="G669" i="15"/>
  <c r="F669" i="15"/>
  <c r="E669" i="15"/>
  <c r="D669" i="15"/>
  <c r="C669" i="15"/>
  <c r="B669" i="15"/>
  <c r="N668" i="15"/>
  <c r="M668" i="15"/>
  <c r="L668" i="15"/>
  <c r="K668" i="15"/>
  <c r="J668" i="15"/>
  <c r="I668" i="15"/>
  <c r="H668" i="15"/>
  <c r="G668" i="15"/>
  <c r="F668" i="15"/>
  <c r="E668" i="15"/>
  <c r="D668" i="15"/>
  <c r="C668" i="15"/>
  <c r="B668" i="15"/>
  <c r="N667" i="15"/>
  <c r="M667" i="15"/>
  <c r="L667" i="15"/>
  <c r="K667" i="15"/>
  <c r="J667" i="15"/>
  <c r="I667" i="15"/>
  <c r="H667" i="15"/>
  <c r="G667" i="15"/>
  <c r="F667" i="15"/>
  <c r="E667" i="15"/>
  <c r="D667" i="15"/>
  <c r="C667" i="15"/>
  <c r="B667" i="15"/>
  <c r="N666" i="15"/>
  <c r="M666" i="15"/>
  <c r="L666" i="15"/>
  <c r="K666" i="15"/>
  <c r="J666" i="15"/>
  <c r="I666" i="15"/>
  <c r="H666" i="15"/>
  <c r="G666" i="15"/>
  <c r="F666" i="15"/>
  <c r="E666" i="15"/>
  <c r="D666" i="15"/>
  <c r="C666" i="15"/>
  <c r="B666" i="15"/>
  <c r="N665" i="15"/>
  <c r="M665" i="15"/>
  <c r="L665" i="15"/>
  <c r="K665" i="15"/>
  <c r="J665" i="15"/>
  <c r="I665" i="15"/>
  <c r="H665" i="15"/>
  <c r="G665" i="15"/>
  <c r="F665" i="15"/>
  <c r="E665" i="15"/>
  <c r="D665" i="15"/>
  <c r="C665" i="15"/>
  <c r="B665" i="15"/>
  <c r="N664" i="15"/>
  <c r="M664" i="15"/>
  <c r="L664" i="15"/>
  <c r="K664" i="15"/>
  <c r="J664" i="15"/>
  <c r="I664" i="15"/>
  <c r="H664" i="15"/>
  <c r="G664" i="15"/>
  <c r="F664" i="15"/>
  <c r="E664" i="15"/>
  <c r="D664" i="15"/>
  <c r="C664" i="15"/>
  <c r="B664" i="15"/>
  <c r="N663" i="15"/>
  <c r="M663" i="15"/>
  <c r="L663" i="15"/>
  <c r="K663" i="15"/>
  <c r="J663" i="15"/>
  <c r="I663" i="15"/>
  <c r="H663" i="15"/>
  <c r="G663" i="15"/>
  <c r="F663" i="15"/>
  <c r="E663" i="15"/>
  <c r="D663" i="15"/>
  <c r="C663" i="15"/>
  <c r="B663" i="15"/>
  <c r="N662" i="15"/>
  <c r="M662" i="15"/>
  <c r="L662" i="15"/>
  <c r="K662" i="15"/>
  <c r="J662" i="15"/>
  <c r="I662" i="15"/>
  <c r="H662" i="15"/>
  <c r="G662" i="15"/>
  <c r="F662" i="15"/>
  <c r="E662" i="15"/>
  <c r="D662" i="15"/>
  <c r="C662" i="15"/>
  <c r="B662" i="15"/>
  <c r="N661" i="15"/>
  <c r="M661" i="15"/>
  <c r="L661" i="15"/>
  <c r="K661" i="15"/>
  <c r="J661" i="15"/>
  <c r="I661" i="15"/>
  <c r="H661" i="15"/>
  <c r="G661" i="15"/>
  <c r="F661" i="15"/>
  <c r="E661" i="15"/>
  <c r="D661" i="15"/>
  <c r="C661" i="15"/>
  <c r="B661" i="15"/>
  <c r="N660" i="15"/>
  <c r="M660" i="15"/>
  <c r="L660" i="15"/>
  <c r="K660" i="15"/>
  <c r="J660" i="15"/>
  <c r="I660" i="15"/>
  <c r="H660" i="15"/>
  <c r="G660" i="15"/>
  <c r="F660" i="15"/>
  <c r="E660" i="15"/>
  <c r="D660" i="15"/>
  <c r="C660" i="15"/>
  <c r="B660" i="15"/>
  <c r="N659" i="15"/>
  <c r="M659" i="15"/>
  <c r="L659" i="15"/>
  <c r="K659" i="15"/>
  <c r="J659" i="15"/>
  <c r="I659" i="15"/>
  <c r="H659" i="15"/>
  <c r="G659" i="15"/>
  <c r="F659" i="15"/>
  <c r="E659" i="15"/>
  <c r="D659" i="15"/>
  <c r="C659" i="15"/>
  <c r="B659" i="15"/>
  <c r="N658" i="15"/>
  <c r="M658" i="15"/>
  <c r="L658" i="15"/>
  <c r="K658" i="15"/>
  <c r="J658" i="15"/>
  <c r="I658" i="15"/>
  <c r="H658" i="15"/>
  <c r="G658" i="15"/>
  <c r="F658" i="15"/>
  <c r="E658" i="15"/>
  <c r="D658" i="15"/>
  <c r="C658" i="15"/>
  <c r="B658" i="15"/>
  <c r="N657" i="15"/>
  <c r="M657" i="15"/>
  <c r="L657" i="15"/>
  <c r="K657" i="15"/>
  <c r="J657" i="15"/>
  <c r="I657" i="15"/>
  <c r="H657" i="15"/>
  <c r="G657" i="15"/>
  <c r="F657" i="15"/>
  <c r="E657" i="15"/>
  <c r="D657" i="15"/>
  <c r="C657" i="15"/>
  <c r="B657" i="15"/>
  <c r="N656" i="15"/>
  <c r="M656" i="15"/>
  <c r="L656" i="15"/>
  <c r="K656" i="15"/>
  <c r="J656" i="15"/>
  <c r="I656" i="15"/>
  <c r="H656" i="15"/>
  <c r="G656" i="15"/>
  <c r="F656" i="15"/>
  <c r="E656" i="15"/>
  <c r="D656" i="15"/>
  <c r="C656" i="15"/>
  <c r="B656" i="15"/>
  <c r="N655" i="15"/>
  <c r="M655" i="15"/>
  <c r="L655" i="15"/>
  <c r="K655" i="15"/>
  <c r="J655" i="15"/>
  <c r="I655" i="15"/>
  <c r="H655" i="15"/>
  <c r="G655" i="15"/>
  <c r="F655" i="15"/>
  <c r="E655" i="15"/>
  <c r="D655" i="15"/>
  <c r="C655" i="15"/>
  <c r="B655" i="15"/>
  <c r="N654" i="15"/>
  <c r="M654" i="15"/>
  <c r="L654" i="15"/>
  <c r="K654" i="15"/>
  <c r="J654" i="15"/>
  <c r="I654" i="15"/>
  <c r="H654" i="15"/>
  <c r="G654" i="15"/>
  <c r="F654" i="15"/>
  <c r="E654" i="15"/>
  <c r="D654" i="15"/>
  <c r="C654" i="15"/>
  <c r="B654" i="15"/>
  <c r="N653" i="15"/>
  <c r="M653" i="15"/>
  <c r="L653" i="15"/>
  <c r="K653" i="15"/>
  <c r="J653" i="15"/>
  <c r="I653" i="15"/>
  <c r="H653" i="15"/>
  <c r="G653" i="15"/>
  <c r="F653" i="15"/>
  <c r="E653" i="15"/>
  <c r="D653" i="15"/>
  <c r="C653" i="15"/>
  <c r="B653" i="15"/>
  <c r="N652" i="15"/>
  <c r="M652" i="15"/>
  <c r="L652" i="15"/>
  <c r="K652" i="15"/>
  <c r="J652" i="15"/>
  <c r="I652" i="15"/>
  <c r="H652" i="15"/>
  <c r="G652" i="15"/>
  <c r="F652" i="15"/>
  <c r="E652" i="15"/>
  <c r="D652" i="15"/>
  <c r="C652" i="15"/>
  <c r="B652" i="15"/>
  <c r="N651" i="15"/>
  <c r="M651" i="15"/>
  <c r="L651" i="15"/>
  <c r="K651" i="15"/>
  <c r="J651" i="15"/>
  <c r="I651" i="15"/>
  <c r="H651" i="15"/>
  <c r="G651" i="15"/>
  <c r="F651" i="15"/>
  <c r="E651" i="15"/>
  <c r="D651" i="15"/>
  <c r="C651" i="15"/>
  <c r="B651" i="15"/>
  <c r="N650" i="15"/>
  <c r="M650" i="15"/>
  <c r="L650" i="15"/>
  <c r="K650" i="15"/>
  <c r="J650" i="15"/>
  <c r="I650" i="15"/>
  <c r="H650" i="15"/>
  <c r="G650" i="15"/>
  <c r="F650" i="15"/>
  <c r="E650" i="15"/>
  <c r="D650" i="15"/>
  <c r="C650" i="15"/>
  <c r="B650" i="15"/>
  <c r="N649" i="15"/>
  <c r="M649" i="15"/>
  <c r="L649" i="15"/>
  <c r="K649" i="15"/>
  <c r="J649" i="15"/>
  <c r="I649" i="15"/>
  <c r="H649" i="15"/>
  <c r="G649" i="15"/>
  <c r="F649" i="15"/>
  <c r="E649" i="15"/>
  <c r="D649" i="15"/>
  <c r="C649" i="15"/>
  <c r="B649" i="15"/>
  <c r="N648" i="15"/>
  <c r="M648" i="15"/>
  <c r="L648" i="15"/>
  <c r="K648" i="15"/>
  <c r="J648" i="15"/>
  <c r="I648" i="15"/>
  <c r="H648" i="15"/>
  <c r="G648" i="15"/>
  <c r="F648" i="15"/>
  <c r="E648" i="15"/>
  <c r="D648" i="15"/>
  <c r="C648" i="15"/>
  <c r="B648" i="15"/>
  <c r="N647" i="15"/>
  <c r="M647" i="15"/>
  <c r="L647" i="15"/>
  <c r="K647" i="15"/>
  <c r="J647" i="15"/>
  <c r="I647" i="15"/>
  <c r="H647" i="15"/>
  <c r="G647" i="15"/>
  <c r="F647" i="15"/>
  <c r="E647" i="15"/>
  <c r="D647" i="15"/>
  <c r="C647" i="15"/>
  <c r="B647" i="15"/>
  <c r="N646" i="15"/>
  <c r="M646" i="15"/>
  <c r="L646" i="15"/>
  <c r="K646" i="15"/>
  <c r="J646" i="15"/>
  <c r="I646" i="15"/>
  <c r="H646" i="15"/>
  <c r="G646" i="15"/>
  <c r="F646" i="15"/>
  <c r="E646" i="15"/>
  <c r="D646" i="15"/>
  <c r="C646" i="15"/>
  <c r="B646" i="15"/>
  <c r="N645" i="15"/>
  <c r="M645" i="15"/>
  <c r="L645" i="15"/>
  <c r="K645" i="15"/>
  <c r="J645" i="15"/>
  <c r="I645" i="15"/>
  <c r="H645" i="15"/>
  <c r="G645" i="15"/>
  <c r="F645" i="15"/>
  <c r="E645" i="15"/>
  <c r="D645" i="15"/>
  <c r="C645" i="15"/>
  <c r="B645" i="15"/>
  <c r="N644" i="15"/>
  <c r="M644" i="15"/>
  <c r="L644" i="15"/>
  <c r="K644" i="15"/>
  <c r="J644" i="15"/>
  <c r="I644" i="15"/>
  <c r="H644" i="15"/>
  <c r="G644" i="15"/>
  <c r="F644" i="15"/>
  <c r="E644" i="15"/>
  <c r="D644" i="15"/>
  <c r="C644" i="15"/>
  <c r="B644" i="15"/>
  <c r="N643" i="15"/>
  <c r="M643" i="15"/>
  <c r="L643" i="15"/>
  <c r="K643" i="15"/>
  <c r="J643" i="15"/>
  <c r="I643" i="15"/>
  <c r="H643" i="15"/>
  <c r="G643" i="15"/>
  <c r="F643" i="15"/>
  <c r="E643" i="15"/>
  <c r="D643" i="15"/>
  <c r="C643" i="15"/>
  <c r="B643" i="15"/>
  <c r="N642" i="15"/>
  <c r="M642" i="15"/>
  <c r="L642" i="15"/>
  <c r="K642" i="15"/>
  <c r="J642" i="15"/>
  <c r="I642" i="15"/>
  <c r="H642" i="15"/>
  <c r="G642" i="15"/>
  <c r="F642" i="15"/>
  <c r="E642" i="15"/>
  <c r="D642" i="15"/>
  <c r="C642" i="15"/>
  <c r="B642" i="15"/>
  <c r="N641" i="15"/>
  <c r="M641" i="15"/>
  <c r="L641" i="15"/>
  <c r="K641" i="15"/>
  <c r="J641" i="15"/>
  <c r="I641" i="15"/>
  <c r="H641" i="15"/>
  <c r="G641" i="15"/>
  <c r="F641" i="15"/>
  <c r="E641" i="15"/>
  <c r="D641" i="15"/>
  <c r="C641" i="15"/>
  <c r="B641" i="15"/>
  <c r="N640" i="15"/>
  <c r="M640" i="15"/>
  <c r="L640" i="15"/>
  <c r="K640" i="15"/>
  <c r="J640" i="15"/>
  <c r="I640" i="15"/>
  <c r="H640" i="15"/>
  <c r="G640" i="15"/>
  <c r="F640" i="15"/>
  <c r="E640" i="15"/>
  <c r="D640" i="15"/>
  <c r="C640" i="15"/>
  <c r="B640" i="15"/>
  <c r="N639" i="15"/>
  <c r="M639" i="15"/>
  <c r="L639" i="15"/>
  <c r="K639" i="15"/>
  <c r="J639" i="15"/>
  <c r="I639" i="15"/>
  <c r="H639" i="15"/>
  <c r="G639" i="15"/>
  <c r="F639" i="15"/>
  <c r="E639" i="15"/>
  <c r="D639" i="15"/>
  <c r="C639" i="15"/>
  <c r="B639" i="15"/>
  <c r="N638" i="15"/>
  <c r="M638" i="15"/>
  <c r="L638" i="15"/>
  <c r="K638" i="15"/>
  <c r="J638" i="15"/>
  <c r="I638" i="15"/>
  <c r="H638" i="15"/>
  <c r="G638" i="15"/>
  <c r="F638" i="15"/>
  <c r="E638" i="15"/>
  <c r="D638" i="15"/>
  <c r="C638" i="15"/>
  <c r="B638" i="15"/>
  <c r="N637" i="15"/>
  <c r="M637" i="15"/>
  <c r="L637" i="15"/>
  <c r="K637" i="15"/>
  <c r="J637" i="15"/>
  <c r="I637" i="15"/>
  <c r="H637" i="15"/>
  <c r="G637" i="15"/>
  <c r="F637" i="15"/>
  <c r="E637" i="15"/>
  <c r="D637" i="15"/>
  <c r="C637" i="15"/>
  <c r="B637" i="15"/>
  <c r="N636" i="15"/>
  <c r="M636" i="15"/>
  <c r="L636" i="15"/>
  <c r="K636" i="15"/>
  <c r="J636" i="15"/>
  <c r="I636" i="15"/>
  <c r="H636" i="15"/>
  <c r="G636" i="15"/>
  <c r="F636" i="15"/>
  <c r="E636" i="15"/>
  <c r="D636" i="15"/>
  <c r="C636" i="15"/>
  <c r="B636" i="15"/>
  <c r="N635" i="15"/>
  <c r="M635" i="15"/>
  <c r="L635" i="15"/>
  <c r="K635" i="15"/>
  <c r="J635" i="15"/>
  <c r="I635" i="15"/>
  <c r="H635" i="15"/>
  <c r="G635" i="15"/>
  <c r="F635" i="15"/>
  <c r="E635" i="15"/>
  <c r="D635" i="15"/>
  <c r="C635" i="15"/>
  <c r="B635" i="15"/>
  <c r="N634" i="15"/>
  <c r="M634" i="15"/>
  <c r="L634" i="15"/>
  <c r="K634" i="15"/>
  <c r="J634" i="15"/>
  <c r="I634" i="15"/>
  <c r="H634" i="15"/>
  <c r="G634" i="15"/>
  <c r="F634" i="15"/>
  <c r="E634" i="15"/>
  <c r="D634" i="15"/>
  <c r="C634" i="15"/>
  <c r="B634" i="15"/>
  <c r="N633" i="15"/>
  <c r="M633" i="15"/>
  <c r="L633" i="15"/>
  <c r="K633" i="15"/>
  <c r="J633" i="15"/>
  <c r="I633" i="15"/>
  <c r="H633" i="15"/>
  <c r="G633" i="15"/>
  <c r="F633" i="15"/>
  <c r="E633" i="15"/>
  <c r="D633" i="15"/>
  <c r="C633" i="15"/>
  <c r="B633" i="15"/>
  <c r="N632" i="15"/>
  <c r="M632" i="15"/>
  <c r="L632" i="15"/>
  <c r="K632" i="15"/>
  <c r="J632" i="15"/>
  <c r="I632" i="15"/>
  <c r="H632" i="15"/>
  <c r="G632" i="15"/>
  <c r="F632" i="15"/>
  <c r="E632" i="15"/>
  <c r="D632" i="15"/>
  <c r="C632" i="15"/>
  <c r="B632" i="15"/>
  <c r="N631" i="15"/>
  <c r="M631" i="15"/>
  <c r="L631" i="15"/>
  <c r="K631" i="15"/>
  <c r="J631" i="15"/>
  <c r="I631" i="15"/>
  <c r="H631" i="15"/>
  <c r="G631" i="15"/>
  <c r="F631" i="15"/>
  <c r="E631" i="15"/>
  <c r="D631" i="15"/>
  <c r="C631" i="15"/>
  <c r="B631" i="15"/>
  <c r="N630" i="15"/>
  <c r="M630" i="15"/>
  <c r="L630" i="15"/>
  <c r="K630" i="15"/>
  <c r="J630" i="15"/>
  <c r="I630" i="15"/>
  <c r="H630" i="15"/>
  <c r="G630" i="15"/>
  <c r="F630" i="15"/>
  <c r="E630" i="15"/>
  <c r="D630" i="15"/>
  <c r="C630" i="15"/>
  <c r="B630" i="15"/>
  <c r="N629" i="15"/>
  <c r="M629" i="15"/>
  <c r="L629" i="15"/>
  <c r="K629" i="15"/>
  <c r="J629" i="15"/>
  <c r="I629" i="15"/>
  <c r="H629" i="15"/>
  <c r="G629" i="15"/>
  <c r="F629" i="15"/>
  <c r="E629" i="15"/>
  <c r="D629" i="15"/>
  <c r="C629" i="15"/>
  <c r="B629" i="15"/>
  <c r="N628" i="15"/>
  <c r="M628" i="15"/>
  <c r="L628" i="15"/>
  <c r="K628" i="15"/>
  <c r="J628" i="15"/>
  <c r="I628" i="15"/>
  <c r="H628" i="15"/>
  <c r="G628" i="15"/>
  <c r="F628" i="15"/>
  <c r="E628" i="15"/>
  <c r="D628" i="15"/>
  <c r="C628" i="15"/>
  <c r="B628" i="15"/>
  <c r="N627" i="15"/>
  <c r="M627" i="15"/>
  <c r="L627" i="15"/>
  <c r="K627" i="15"/>
  <c r="J627" i="15"/>
  <c r="I627" i="15"/>
  <c r="H627" i="15"/>
  <c r="G627" i="15"/>
  <c r="F627" i="15"/>
  <c r="E627" i="15"/>
  <c r="D627" i="15"/>
  <c r="C627" i="15"/>
  <c r="B627" i="15"/>
  <c r="N626" i="15"/>
  <c r="M626" i="15"/>
  <c r="L626" i="15"/>
  <c r="K626" i="15"/>
  <c r="J626" i="15"/>
  <c r="I626" i="15"/>
  <c r="H626" i="15"/>
  <c r="G626" i="15"/>
  <c r="F626" i="15"/>
  <c r="E626" i="15"/>
  <c r="D626" i="15"/>
  <c r="C626" i="15"/>
  <c r="B626" i="15"/>
  <c r="N625" i="15"/>
  <c r="M625" i="15"/>
  <c r="L625" i="15"/>
  <c r="K625" i="15"/>
  <c r="J625" i="15"/>
  <c r="I625" i="15"/>
  <c r="H625" i="15"/>
  <c r="G625" i="15"/>
  <c r="F625" i="15"/>
  <c r="E625" i="15"/>
  <c r="D625" i="15"/>
  <c r="C625" i="15"/>
  <c r="B625" i="15"/>
  <c r="N624" i="15"/>
  <c r="M624" i="15"/>
  <c r="L624" i="15"/>
  <c r="K624" i="15"/>
  <c r="J624" i="15"/>
  <c r="I624" i="15"/>
  <c r="H624" i="15"/>
  <c r="G624" i="15"/>
  <c r="F624" i="15"/>
  <c r="E624" i="15"/>
  <c r="D624" i="15"/>
  <c r="C624" i="15"/>
  <c r="B624" i="15"/>
  <c r="N623" i="15"/>
  <c r="M623" i="15"/>
  <c r="L623" i="15"/>
  <c r="K623" i="15"/>
  <c r="J623" i="15"/>
  <c r="I623" i="15"/>
  <c r="H623" i="15"/>
  <c r="G623" i="15"/>
  <c r="F623" i="15"/>
  <c r="E623" i="15"/>
  <c r="D623" i="15"/>
  <c r="C623" i="15"/>
  <c r="B623" i="15"/>
  <c r="N622" i="15"/>
  <c r="M622" i="15"/>
  <c r="L622" i="15"/>
  <c r="K622" i="15"/>
  <c r="J622" i="15"/>
  <c r="I622" i="15"/>
  <c r="H622" i="15"/>
  <c r="G622" i="15"/>
  <c r="F622" i="15"/>
  <c r="E622" i="15"/>
  <c r="D622" i="15"/>
  <c r="C622" i="15"/>
  <c r="B622" i="15"/>
  <c r="N621" i="15"/>
  <c r="M621" i="15"/>
  <c r="L621" i="15"/>
  <c r="K621" i="15"/>
  <c r="J621" i="15"/>
  <c r="I621" i="15"/>
  <c r="H621" i="15"/>
  <c r="G621" i="15"/>
  <c r="F621" i="15"/>
  <c r="E621" i="15"/>
  <c r="D621" i="15"/>
  <c r="C621" i="15"/>
  <c r="B621" i="15"/>
  <c r="N620" i="15"/>
  <c r="M620" i="15"/>
  <c r="L620" i="15"/>
  <c r="K620" i="15"/>
  <c r="J620" i="15"/>
  <c r="I620" i="15"/>
  <c r="H620" i="15"/>
  <c r="G620" i="15"/>
  <c r="F620" i="15"/>
  <c r="E620" i="15"/>
  <c r="D620" i="15"/>
  <c r="C620" i="15"/>
  <c r="B620" i="15"/>
  <c r="N619" i="15"/>
  <c r="M619" i="15"/>
  <c r="L619" i="15"/>
  <c r="K619" i="15"/>
  <c r="J619" i="15"/>
  <c r="I619" i="15"/>
  <c r="H619" i="15"/>
  <c r="G619" i="15"/>
  <c r="F619" i="15"/>
  <c r="E619" i="15"/>
  <c r="D619" i="15"/>
  <c r="C619" i="15"/>
  <c r="B619" i="15"/>
  <c r="N618" i="15"/>
  <c r="M618" i="15"/>
  <c r="L618" i="15"/>
  <c r="K618" i="15"/>
  <c r="J618" i="15"/>
  <c r="I618" i="15"/>
  <c r="H618" i="15"/>
  <c r="G618" i="15"/>
  <c r="F618" i="15"/>
  <c r="E618" i="15"/>
  <c r="D618" i="15"/>
  <c r="C618" i="15"/>
  <c r="B618" i="15"/>
  <c r="N617" i="15"/>
  <c r="M617" i="15"/>
  <c r="L617" i="15"/>
  <c r="K617" i="15"/>
  <c r="J617" i="15"/>
  <c r="I617" i="15"/>
  <c r="H617" i="15"/>
  <c r="G617" i="15"/>
  <c r="F617" i="15"/>
  <c r="E617" i="15"/>
  <c r="D617" i="15"/>
  <c r="C617" i="15"/>
  <c r="B617" i="15"/>
  <c r="N616" i="15"/>
  <c r="M616" i="15"/>
  <c r="L616" i="15"/>
  <c r="K616" i="15"/>
  <c r="J616" i="15"/>
  <c r="I616" i="15"/>
  <c r="H616" i="15"/>
  <c r="G616" i="15"/>
  <c r="F616" i="15"/>
  <c r="E616" i="15"/>
  <c r="D616" i="15"/>
  <c r="C616" i="15"/>
  <c r="B616" i="15"/>
  <c r="N615" i="15"/>
  <c r="M615" i="15"/>
  <c r="L615" i="15"/>
  <c r="K615" i="15"/>
  <c r="J615" i="15"/>
  <c r="I615" i="15"/>
  <c r="H615" i="15"/>
  <c r="G615" i="15"/>
  <c r="F615" i="15"/>
  <c r="E615" i="15"/>
  <c r="D615" i="15"/>
  <c r="C615" i="15"/>
  <c r="B615" i="15"/>
  <c r="N614" i="15"/>
  <c r="M614" i="15"/>
  <c r="L614" i="15"/>
  <c r="K614" i="15"/>
  <c r="J614" i="15"/>
  <c r="I614" i="15"/>
  <c r="H614" i="15"/>
  <c r="G614" i="15"/>
  <c r="F614" i="15"/>
  <c r="E614" i="15"/>
  <c r="D614" i="15"/>
  <c r="C614" i="15"/>
  <c r="B614" i="15"/>
  <c r="N613" i="15"/>
  <c r="M613" i="15"/>
  <c r="L613" i="15"/>
  <c r="K613" i="15"/>
  <c r="J613" i="15"/>
  <c r="I613" i="15"/>
  <c r="H613" i="15"/>
  <c r="G613" i="15"/>
  <c r="F613" i="15"/>
  <c r="E613" i="15"/>
  <c r="D613" i="15"/>
  <c r="C613" i="15"/>
  <c r="B613" i="15"/>
  <c r="N612" i="15"/>
  <c r="M612" i="15"/>
  <c r="L612" i="15"/>
  <c r="K612" i="15"/>
  <c r="J612" i="15"/>
  <c r="I612" i="15"/>
  <c r="H612" i="15"/>
  <c r="G612" i="15"/>
  <c r="F612" i="15"/>
  <c r="E612" i="15"/>
  <c r="D612" i="15"/>
  <c r="C612" i="15"/>
  <c r="B612" i="15"/>
  <c r="N611" i="15"/>
  <c r="M611" i="15"/>
  <c r="L611" i="15"/>
  <c r="K611" i="15"/>
  <c r="J611" i="15"/>
  <c r="I611" i="15"/>
  <c r="H611" i="15"/>
  <c r="G611" i="15"/>
  <c r="F611" i="15"/>
  <c r="E611" i="15"/>
  <c r="D611" i="15"/>
  <c r="C611" i="15"/>
  <c r="B611" i="15"/>
  <c r="N610" i="15"/>
  <c r="M610" i="15"/>
  <c r="L610" i="15"/>
  <c r="K610" i="15"/>
  <c r="J610" i="15"/>
  <c r="I610" i="15"/>
  <c r="H610" i="15"/>
  <c r="G610" i="15"/>
  <c r="F610" i="15"/>
  <c r="E610" i="15"/>
  <c r="D610" i="15"/>
  <c r="C610" i="15"/>
  <c r="B610" i="15"/>
  <c r="N609" i="15"/>
  <c r="M609" i="15"/>
  <c r="L609" i="15"/>
  <c r="K609" i="15"/>
  <c r="J609" i="15"/>
  <c r="I609" i="15"/>
  <c r="H609" i="15"/>
  <c r="G609" i="15"/>
  <c r="F609" i="15"/>
  <c r="E609" i="15"/>
  <c r="D609" i="15"/>
  <c r="C609" i="15"/>
  <c r="B609" i="15"/>
  <c r="N608" i="15"/>
  <c r="M608" i="15"/>
  <c r="L608" i="15"/>
  <c r="K608" i="15"/>
  <c r="J608" i="15"/>
  <c r="I608" i="15"/>
  <c r="H608" i="15"/>
  <c r="G608" i="15"/>
  <c r="F608" i="15"/>
  <c r="E608" i="15"/>
  <c r="D608" i="15"/>
  <c r="C608" i="15"/>
  <c r="B608" i="15"/>
  <c r="N607" i="15"/>
  <c r="M607" i="15"/>
  <c r="L607" i="15"/>
  <c r="K607" i="15"/>
  <c r="J607" i="15"/>
  <c r="I607" i="15"/>
  <c r="H607" i="15"/>
  <c r="G607" i="15"/>
  <c r="F607" i="15"/>
  <c r="E607" i="15"/>
  <c r="D607" i="15"/>
  <c r="C607" i="15"/>
  <c r="B607" i="15"/>
  <c r="N606" i="15"/>
  <c r="M606" i="15"/>
  <c r="L606" i="15"/>
  <c r="K606" i="15"/>
  <c r="J606" i="15"/>
  <c r="I606" i="15"/>
  <c r="H606" i="15"/>
  <c r="G606" i="15"/>
  <c r="F606" i="15"/>
  <c r="E606" i="15"/>
  <c r="D606" i="15"/>
  <c r="C606" i="15"/>
  <c r="B606" i="15"/>
  <c r="N605" i="15"/>
  <c r="M605" i="15"/>
  <c r="L605" i="15"/>
  <c r="K605" i="15"/>
  <c r="J605" i="15"/>
  <c r="I605" i="15"/>
  <c r="H605" i="15"/>
  <c r="G605" i="15"/>
  <c r="F605" i="15"/>
  <c r="E605" i="15"/>
  <c r="D605" i="15"/>
  <c r="C605" i="15"/>
  <c r="B605" i="15"/>
  <c r="N604" i="15"/>
  <c r="M604" i="15"/>
  <c r="L604" i="15"/>
  <c r="K604" i="15"/>
  <c r="J604" i="15"/>
  <c r="I604" i="15"/>
  <c r="H604" i="15"/>
  <c r="G604" i="15"/>
  <c r="F604" i="15"/>
  <c r="E604" i="15"/>
  <c r="D604" i="15"/>
  <c r="C604" i="15"/>
  <c r="B604" i="15"/>
  <c r="N603" i="15"/>
  <c r="M603" i="15"/>
  <c r="L603" i="15"/>
  <c r="K603" i="15"/>
  <c r="J603" i="15"/>
  <c r="I603" i="15"/>
  <c r="H603" i="15"/>
  <c r="G603" i="15"/>
  <c r="F603" i="15"/>
  <c r="E603" i="15"/>
  <c r="D603" i="15"/>
  <c r="C603" i="15"/>
  <c r="B603" i="15"/>
  <c r="N602" i="15"/>
  <c r="M602" i="15"/>
  <c r="L602" i="15"/>
  <c r="K602" i="15"/>
  <c r="J602" i="15"/>
  <c r="I602" i="15"/>
  <c r="H602" i="15"/>
  <c r="G602" i="15"/>
  <c r="F602" i="15"/>
  <c r="E602" i="15"/>
  <c r="D602" i="15"/>
  <c r="C602" i="15"/>
  <c r="B602" i="15"/>
  <c r="N601" i="15"/>
  <c r="M601" i="15"/>
  <c r="L601" i="15"/>
  <c r="K601" i="15"/>
  <c r="J601" i="15"/>
  <c r="I601" i="15"/>
  <c r="H601" i="15"/>
  <c r="G601" i="15"/>
  <c r="F601" i="15"/>
  <c r="E601" i="15"/>
  <c r="D601" i="15"/>
  <c r="C601" i="15"/>
  <c r="B601" i="15"/>
  <c r="N600" i="15"/>
  <c r="M600" i="15"/>
  <c r="L600" i="15"/>
  <c r="K600" i="15"/>
  <c r="J600" i="15"/>
  <c r="I600" i="15"/>
  <c r="H600" i="15"/>
  <c r="G600" i="15"/>
  <c r="F600" i="15"/>
  <c r="E600" i="15"/>
  <c r="D600" i="15"/>
  <c r="C600" i="15"/>
  <c r="B600" i="15"/>
  <c r="N599" i="15"/>
  <c r="M599" i="15"/>
  <c r="L599" i="15"/>
  <c r="K599" i="15"/>
  <c r="J599" i="15"/>
  <c r="I599" i="15"/>
  <c r="H599" i="15"/>
  <c r="G599" i="15"/>
  <c r="F599" i="15"/>
  <c r="E599" i="15"/>
  <c r="D599" i="15"/>
  <c r="C599" i="15"/>
  <c r="B599" i="15"/>
  <c r="N598" i="15"/>
  <c r="M598" i="15"/>
  <c r="L598" i="15"/>
  <c r="K598" i="15"/>
  <c r="J598" i="15"/>
  <c r="I598" i="15"/>
  <c r="H598" i="15"/>
  <c r="G598" i="15"/>
  <c r="F598" i="15"/>
  <c r="E598" i="15"/>
  <c r="D598" i="15"/>
  <c r="C598" i="15"/>
  <c r="B598" i="15"/>
  <c r="N597" i="15"/>
  <c r="M597" i="15"/>
  <c r="L597" i="15"/>
  <c r="K597" i="15"/>
  <c r="J597" i="15"/>
  <c r="I597" i="15"/>
  <c r="H597" i="15"/>
  <c r="G597" i="15"/>
  <c r="F597" i="15"/>
  <c r="E597" i="15"/>
  <c r="D597" i="15"/>
  <c r="C597" i="15"/>
  <c r="B597" i="15"/>
  <c r="N596" i="15"/>
  <c r="M596" i="15"/>
  <c r="L596" i="15"/>
  <c r="K596" i="15"/>
  <c r="J596" i="15"/>
  <c r="I596" i="15"/>
  <c r="H596" i="15"/>
  <c r="G596" i="15"/>
  <c r="F596" i="15"/>
  <c r="E596" i="15"/>
  <c r="D596" i="15"/>
  <c r="C596" i="15"/>
  <c r="B596" i="15"/>
  <c r="N595" i="15"/>
  <c r="M595" i="15"/>
  <c r="L595" i="15"/>
  <c r="K595" i="15"/>
  <c r="J595" i="15"/>
  <c r="I595" i="15"/>
  <c r="H595" i="15"/>
  <c r="G595" i="15"/>
  <c r="F595" i="15"/>
  <c r="E595" i="15"/>
  <c r="D595" i="15"/>
  <c r="C595" i="15"/>
  <c r="B595" i="15"/>
  <c r="N594" i="15"/>
  <c r="M594" i="15"/>
  <c r="L594" i="15"/>
  <c r="K594" i="15"/>
  <c r="J594" i="15"/>
  <c r="I594" i="15"/>
  <c r="H594" i="15"/>
  <c r="G594" i="15"/>
  <c r="F594" i="15"/>
  <c r="E594" i="15"/>
  <c r="D594" i="15"/>
  <c r="C594" i="15"/>
  <c r="B594" i="15"/>
  <c r="N593" i="15"/>
  <c r="M593" i="15"/>
  <c r="L593" i="15"/>
  <c r="K593" i="15"/>
  <c r="J593" i="15"/>
  <c r="I593" i="15"/>
  <c r="H593" i="15"/>
  <c r="G593" i="15"/>
  <c r="F593" i="15"/>
  <c r="E593" i="15"/>
  <c r="D593" i="15"/>
  <c r="C593" i="15"/>
  <c r="B593" i="15"/>
  <c r="N592" i="15"/>
  <c r="M592" i="15"/>
  <c r="L592" i="15"/>
  <c r="K592" i="15"/>
  <c r="J592" i="15"/>
  <c r="I592" i="15"/>
  <c r="H592" i="15"/>
  <c r="G592" i="15"/>
  <c r="F592" i="15"/>
  <c r="E592" i="15"/>
  <c r="D592" i="15"/>
  <c r="C592" i="15"/>
  <c r="B592" i="15"/>
  <c r="N591" i="15"/>
  <c r="M591" i="15"/>
  <c r="L591" i="15"/>
  <c r="K591" i="15"/>
  <c r="J591" i="15"/>
  <c r="I591" i="15"/>
  <c r="H591" i="15"/>
  <c r="G591" i="15"/>
  <c r="F591" i="15"/>
  <c r="E591" i="15"/>
  <c r="D591" i="15"/>
  <c r="C591" i="15"/>
  <c r="B591" i="15"/>
  <c r="N590" i="15"/>
  <c r="M590" i="15"/>
  <c r="L590" i="15"/>
  <c r="K590" i="15"/>
  <c r="J590" i="15"/>
  <c r="I590" i="15"/>
  <c r="H590" i="15"/>
  <c r="G590" i="15"/>
  <c r="F590" i="15"/>
  <c r="E590" i="15"/>
  <c r="D590" i="15"/>
  <c r="C590" i="15"/>
  <c r="B590" i="15"/>
  <c r="N589" i="15"/>
  <c r="M589" i="15"/>
  <c r="L589" i="15"/>
  <c r="K589" i="15"/>
  <c r="J589" i="15"/>
  <c r="I589" i="15"/>
  <c r="H589" i="15"/>
  <c r="G589" i="15"/>
  <c r="F589" i="15"/>
  <c r="E589" i="15"/>
  <c r="D589" i="15"/>
  <c r="C589" i="15"/>
  <c r="B589" i="15"/>
  <c r="N588" i="15"/>
  <c r="M588" i="15"/>
  <c r="L588" i="15"/>
  <c r="K588" i="15"/>
  <c r="J588" i="15"/>
  <c r="I588" i="15"/>
  <c r="H588" i="15"/>
  <c r="G588" i="15"/>
  <c r="F588" i="15"/>
  <c r="E588" i="15"/>
  <c r="D588" i="15"/>
  <c r="C588" i="15"/>
  <c r="B588" i="15"/>
  <c r="N587" i="15"/>
  <c r="M587" i="15"/>
  <c r="L587" i="15"/>
  <c r="K587" i="15"/>
  <c r="J587" i="15"/>
  <c r="I587" i="15"/>
  <c r="H587" i="15"/>
  <c r="G587" i="15"/>
  <c r="F587" i="15"/>
  <c r="E587" i="15"/>
  <c r="D587" i="15"/>
  <c r="C587" i="15"/>
  <c r="B587" i="15"/>
  <c r="N586" i="15"/>
  <c r="M586" i="15"/>
  <c r="L586" i="15"/>
  <c r="K586" i="15"/>
  <c r="J586" i="15"/>
  <c r="I586" i="15"/>
  <c r="H586" i="15"/>
  <c r="G586" i="15"/>
  <c r="F586" i="15"/>
  <c r="E586" i="15"/>
  <c r="D586" i="15"/>
  <c r="C586" i="15"/>
  <c r="B586" i="15"/>
  <c r="N585" i="15"/>
  <c r="M585" i="15"/>
  <c r="L585" i="15"/>
  <c r="K585" i="15"/>
  <c r="J585" i="15"/>
  <c r="I585" i="15"/>
  <c r="H585" i="15"/>
  <c r="G585" i="15"/>
  <c r="F585" i="15"/>
  <c r="E585" i="15"/>
  <c r="D585" i="15"/>
  <c r="C585" i="15"/>
  <c r="B585" i="15"/>
  <c r="N584" i="15"/>
  <c r="M584" i="15"/>
  <c r="L584" i="15"/>
  <c r="K584" i="15"/>
  <c r="J584" i="15"/>
  <c r="I584" i="15"/>
  <c r="H584" i="15"/>
  <c r="G584" i="15"/>
  <c r="F584" i="15"/>
  <c r="E584" i="15"/>
  <c r="D584" i="15"/>
  <c r="C584" i="15"/>
  <c r="B584" i="15"/>
  <c r="N583" i="15"/>
  <c r="M583" i="15"/>
  <c r="L583" i="15"/>
  <c r="K583" i="15"/>
  <c r="J583" i="15"/>
  <c r="I583" i="15"/>
  <c r="H583" i="15"/>
  <c r="G583" i="15"/>
  <c r="F583" i="15"/>
  <c r="E583" i="15"/>
  <c r="D583" i="15"/>
  <c r="C583" i="15"/>
  <c r="B583" i="15"/>
  <c r="N582" i="15"/>
  <c r="M582" i="15"/>
  <c r="L582" i="15"/>
  <c r="K582" i="15"/>
  <c r="J582" i="15"/>
  <c r="I582" i="15"/>
  <c r="H582" i="15"/>
  <c r="G582" i="15"/>
  <c r="F582" i="15"/>
  <c r="E582" i="15"/>
  <c r="D582" i="15"/>
  <c r="C582" i="15"/>
  <c r="B582" i="15"/>
  <c r="N581" i="15"/>
  <c r="M581" i="15"/>
  <c r="L581" i="15"/>
  <c r="K581" i="15"/>
  <c r="J581" i="15"/>
  <c r="I581" i="15"/>
  <c r="H581" i="15"/>
  <c r="G581" i="15"/>
  <c r="F581" i="15"/>
  <c r="E581" i="15"/>
  <c r="D581" i="15"/>
  <c r="C581" i="15"/>
  <c r="B581" i="15"/>
  <c r="N580" i="15"/>
  <c r="M580" i="15"/>
  <c r="L580" i="15"/>
  <c r="K580" i="15"/>
  <c r="J580" i="15"/>
  <c r="I580" i="15"/>
  <c r="H580" i="15"/>
  <c r="G580" i="15"/>
  <c r="F580" i="15"/>
  <c r="E580" i="15"/>
  <c r="D580" i="15"/>
  <c r="C580" i="15"/>
  <c r="B580" i="15"/>
  <c r="N579" i="15"/>
  <c r="M579" i="15"/>
  <c r="L579" i="15"/>
  <c r="K579" i="15"/>
  <c r="J579" i="15"/>
  <c r="I579" i="15"/>
  <c r="H579" i="15"/>
  <c r="G579" i="15"/>
  <c r="F579" i="15"/>
  <c r="E579" i="15"/>
  <c r="D579" i="15"/>
  <c r="C579" i="15"/>
  <c r="B579" i="15"/>
  <c r="N578" i="15"/>
  <c r="M578" i="15"/>
  <c r="L578" i="15"/>
  <c r="K578" i="15"/>
  <c r="J578" i="15"/>
  <c r="I578" i="15"/>
  <c r="H578" i="15"/>
  <c r="G578" i="15"/>
  <c r="F578" i="15"/>
  <c r="E578" i="15"/>
  <c r="D578" i="15"/>
  <c r="C578" i="15"/>
  <c r="B578" i="15"/>
  <c r="N577" i="15"/>
  <c r="M577" i="15"/>
  <c r="L577" i="15"/>
  <c r="K577" i="15"/>
  <c r="J577" i="15"/>
  <c r="I577" i="15"/>
  <c r="H577" i="15"/>
  <c r="G577" i="15"/>
  <c r="F577" i="15"/>
  <c r="E577" i="15"/>
  <c r="D577" i="15"/>
  <c r="C577" i="15"/>
  <c r="B577" i="15"/>
  <c r="N576" i="15"/>
  <c r="M576" i="15"/>
  <c r="L576" i="15"/>
  <c r="K576" i="15"/>
  <c r="J576" i="15"/>
  <c r="I576" i="15"/>
  <c r="H576" i="15"/>
  <c r="G576" i="15"/>
  <c r="F576" i="15"/>
  <c r="E576" i="15"/>
  <c r="D576" i="15"/>
  <c r="C576" i="15"/>
  <c r="B576" i="15"/>
  <c r="N575" i="15"/>
  <c r="M575" i="15"/>
  <c r="L575" i="15"/>
  <c r="K575" i="15"/>
  <c r="J575" i="15"/>
  <c r="I575" i="15"/>
  <c r="H575" i="15"/>
  <c r="G575" i="15"/>
  <c r="F575" i="15"/>
  <c r="E575" i="15"/>
  <c r="D575" i="15"/>
  <c r="C575" i="15"/>
  <c r="B575" i="15"/>
  <c r="N574" i="15"/>
  <c r="M574" i="15"/>
  <c r="L574" i="15"/>
  <c r="K574" i="15"/>
  <c r="J574" i="15"/>
  <c r="I574" i="15"/>
  <c r="H574" i="15"/>
  <c r="G574" i="15"/>
  <c r="F574" i="15"/>
  <c r="E574" i="15"/>
  <c r="D574" i="15"/>
  <c r="C574" i="15"/>
  <c r="B574" i="15"/>
  <c r="N573" i="15"/>
  <c r="M573" i="15"/>
  <c r="L573" i="15"/>
  <c r="K573" i="15"/>
  <c r="J573" i="15"/>
  <c r="I573" i="15"/>
  <c r="H573" i="15"/>
  <c r="G573" i="15"/>
  <c r="F573" i="15"/>
  <c r="E573" i="15"/>
  <c r="D573" i="15"/>
  <c r="C573" i="15"/>
  <c r="B573" i="15"/>
  <c r="N572" i="15"/>
  <c r="M572" i="15"/>
  <c r="L572" i="15"/>
  <c r="K572" i="15"/>
  <c r="J572" i="15"/>
  <c r="I572" i="15"/>
  <c r="H572" i="15"/>
  <c r="G572" i="15"/>
  <c r="F572" i="15"/>
  <c r="E572" i="15"/>
  <c r="D572" i="15"/>
  <c r="C572" i="15"/>
  <c r="B572" i="15"/>
  <c r="N571" i="15"/>
  <c r="M571" i="15"/>
  <c r="L571" i="15"/>
  <c r="K571" i="15"/>
  <c r="J571" i="15"/>
  <c r="I571" i="15"/>
  <c r="H571" i="15"/>
  <c r="G571" i="15"/>
  <c r="F571" i="15"/>
  <c r="E571" i="15"/>
  <c r="D571" i="15"/>
  <c r="C571" i="15"/>
  <c r="B571" i="15"/>
  <c r="N570" i="15"/>
  <c r="M570" i="15"/>
  <c r="L570" i="15"/>
  <c r="K570" i="15"/>
  <c r="J570" i="15"/>
  <c r="I570" i="15"/>
  <c r="H570" i="15"/>
  <c r="G570" i="15"/>
  <c r="F570" i="15"/>
  <c r="E570" i="15"/>
  <c r="D570" i="15"/>
  <c r="C570" i="15"/>
  <c r="B570" i="15"/>
  <c r="N569" i="15"/>
  <c r="M569" i="15"/>
  <c r="L569" i="15"/>
  <c r="K569" i="15"/>
  <c r="J569" i="15"/>
  <c r="I569" i="15"/>
  <c r="H569" i="15"/>
  <c r="G569" i="15"/>
  <c r="F569" i="15"/>
  <c r="E569" i="15"/>
  <c r="D569" i="15"/>
  <c r="C569" i="15"/>
  <c r="B569" i="15"/>
  <c r="N568" i="15"/>
  <c r="M568" i="15"/>
  <c r="L568" i="15"/>
  <c r="K568" i="15"/>
  <c r="J568" i="15"/>
  <c r="I568" i="15"/>
  <c r="H568" i="15"/>
  <c r="G568" i="15"/>
  <c r="F568" i="15"/>
  <c r="E568" i="15"/>
  <c r="D568" i="15"/>
  <c r="C568" i="15"/>
  <c r="B568" i="15"/>
  <c r="N567" i="15"/>
  <c r="M567" i="15"/>
  <c r="L567" i="15"/>
  <c r="K567" i="15"/>
  <c r="J567" i="15"/>
  <c r="I567" i="15"/>
  <c r="H567" i="15"/>
  <c r="G567" i="15"/>
  <c r="F567" i="15"/>
  <c r="E567" i="15"/>
  <c r="D567" i="15"/>
  <c r="C567" i="15"/>
  <c r="B567" i="15"/>
  <c r="N566" i="15"/>
  <c r="M566" i="15"/>
  <c r="L566" i="15"/>
  <c r="K566" i="15"/>
  <c r="J566" i="15"/>
  <c r="I566" i="15"/>
  <c r="H566" i="15"/>
  <c r="G566" i="15"/>
  <c r="F566" i="15"/>
  <c r="E566" i="15"/>
  <c r="D566" i="15"/>
  <c r="C566" i="15"/>
  <c r="B566" i="15"/>
  <c r="N565" i="15"/>
  <c r="M565" i="15"/>
  <c r="L565" i="15"/>
  <c r="K565" i="15"/>
  <c r="J565" i="15"/>
  <c r="I565" i="15"/>
  <c r="H565" i="15"/>
  <c r="G565" i="15"/>
  <c r="F565" i="15"/>
  <c r="E565" i="15"/>
  <c r="D565" i="15"/>
  <c r="C565" i="15"/>
  <c r="B565" i="15"/>
  <c r="N564" i="15"/>
  <c r="M564" i="15"/>
  <c r="L564" i="15"/>
  <c r="K564" i="15"/>
  <c r="J564" i="15"/>
  <c r="I564" i="15"/>
  <c r="H564" i="15"/>
  <c r="G564" i="15"/>
  <c r="F564" i="15"/>
  <c r="E564" i="15"/>
  <c r="D564" i="15"/>
  <c r="C564" i="15"/>
  <c r="B564" i="15"/>
  <c r="N563" i="15"/>
  <c r="M563" i="15"/>
  <c r="L563" i="15"/>
  <c r="K563" i="15"/>
  <c r="J563" i="15"/>
  <c r="I563" i="15"/>
  <c r="H563" i="15"/>
  <c r="G563" i="15"/>
  <c r="F563" i="15"/>
  <c r="E563" i="15"/>
  <c r="D563" i="15"/>
  <c r="C563" i="15"/>
  <c r="B563" i="15"/>
  <c r="N562" i="15"/>
  <c r="M562" i="15"/>
  <c r="L562" i="15"/>
  <c r="K562" i="15"/>
  <c r="J562" i="15"/>
  <c r="I562" i="15"/>
  <c r="H562" i="15"/>
  <c r="G562" i="15"/>
  <c r="F562" i="15"/>
  <c r="E562" i="15"/>
  <c r="D562" i="15"/>
  <c r="C562" i="15"/>
  <c r="B562" i="15"/>
  <c r="N561" i="15"/>
  <c r="M561" i="15"/>
  <c r="L561" i="15"/>
  <c r="K561" i="15"/>
  <c r="J561" i="15"/>
  <c r="I561" i="15"/>
  <c r="H561" i="15"/>
  <c r="G561" i="15"/>
  <c r="F561" i="15"/>
  <c r="E561" i="15"/>
  <c r="D561" i="15"/>
  <c r="C561" i="15"/>
  <c r="B561" i="15"/>
  <c r="N560" i="15"/>
  <c r="M560" i="15"/>
  <c r="L560" i="15"/>
  <c r="K560" i="15"/>
  <c r="J560" i="15"/>
  <c r="I560" i="15"/>
  <c r="H560" i="15"/>
  <c r="G560" i="15"/>
  <c r="F560" i="15"/>
  <c r="E560" i="15"/>
  <c r="D560" i="15"/>
  <c r="C560" i="15"/>
  <c r="B560" i="15"/>
  <c r="N559" i="15"/>
  <c r="M559" i="15"/>
  <c r="L559" i="15"/>
  <c r="K559" i="15"/>
  <c r="J559" i="15"/>
  <c r="I559" i="15"/>
  <c r="H559" i="15"/>
  <c r="G559" i="15"/>
  <c r="F559" i="15"/>
  <c r="E559" i="15"/>
  <c r="D559" i="15"/>
  <c r="C559" i="15"/>
  <c r="B559" i="15"/>
  <c r="N558" i="15"/>
  <c r="M558" i="15"/>
  <c r="L558" i="15"/>
  <c r="K558" i="15"/>
  <c r="J558" i="15"/>
  <c r="I558" i="15"/>
  <c r="H558" i="15"/>
  <c r="G558" i="15"/>
  <c r="F558" i="15"/>
  <c r="E558" i="15"/>
  <c r="D558" i="15"/>
  <c r="C558" i="15"/>
  <c r="B558" i="15"/>
  <c r="N557" i="15"/>
  <c r="M557" i="15"/>
  <c r="L557" i="15"/>
  <c r="K557" i="15"/>
  <c r="J557" i="15"/>
  <c r="I557" i="15"/>
  <c r="H557" i="15"/>
  <c r="G557" i="15"/>
  <c r="F557" i="15"/>
  <c r="E557" i="15"/>
  <c r="D557" i="15"/>
  <c r="C557" i="15"/>
  <c r="B557" i="15"/>
  <c r="N556" i="15"/>
  <c r="M556" i="15"/>
  <c r="L556" i="15"/>
  <c r="K556" i="15"/>
  <c r="J556" i="15"/>
  <c r="I556" i="15"/>
  <c r="H556" i="15"/>
  <c r="G556" i="15"/>
  <c r="F556" i="15"/>
  <c r="E556" i="15"/>
  <c r="D556" i="15"/>
  <c r="C556" i="15"/>
  <c r="B556" i="15"/>
  <c r="N555" i="15"/>
  <c r="M555" i="15"/>
  <c r="L555" i="15"/>
  <c r="K555" i="15"/>
  <c r="J555" i="15"/>
  <c r="I555" i="15"/>
  <c r="H555" i="15"/>
  <c r="G555" i="15"/>
  <c r="F555" i="15"/>
  <c r="E555" i="15"/>
  <c r="D555" i="15"/>
  <c r="C555" i="15"/>
  <c r="B555" i="15"/>
  <c r="N554" i="15"/>
  <c r="M554" i="15"/>
  <c r="L554" i="15"/>
  <c r="K554" i="15"/>
  <c r="J554" i="15"/>
  <c r="I554" i="15"/>
  <c r="H554" i="15"/>
  <c r="G554" i="15"/>
  <c r="F554" i="15"/>
  <c r="E554" i="15"/>
  <c r="D554" i="15"/>
  <c r="C554" i="15"/>
  <c r="B554" i="15"/>
  <c r="N553" i="15"/>
  <c r="M553" i="15"/>
  <c r="L553" i="15"/>
  <c r="K553" i="15"/>
  <c r="J553" i="15"/>
  <c r="I553" i="15"/>
  <c r="H553" i="15"/>
  <c r="G553" i="15"/>
  <c r="F553" i="15"/>
  <c r="E553" i="15"/>
  <c r="D553" i="15"/>
  <c r="C553" i="15"/>
  <c r="B553" i="15"/>
  <c r="N552" i="15"/>
  <c r="M552" i="15"/>
  <c r="L552" i="15"/>
  <c r="K552" i="15"/>
  <c r="J552" i="15"/>
  <c r="I552" i="15"/>
  <c r="H552" i="15"/>
  <c r="G552" i="15"/>
  <c r="F552" i="15"/>
  <c r="E552" i="15"/>
  <c r="D552" i="15"/>
  <c r="C552" i="15"/>
  <c r="B552" i="15"/>
  <c r="N551" i="15"/>
  <c r="M551" i="15"/>
  <c r="L551" i="15"/>
  <c r="K551" i="15"/>
  <c r="J551" i="15"/>
  <c r="I551" i="15"/>
  <c r="H551" i="15"/>
  <c r="G551" i="15"/>
  <c r="F551" i="15"/>
  <c r="E551" i="15"/>
  <c r="D551" i="15"/>
  <c r="C551" i="15"/>
  <c r="B551" i="15"/>
  <c r="N550" i="15"/>
  <c r="M550" i="15"/>
  <c r="L550" i="15"/>
  <c r="K550" i="15"/>
  <c r="J550" i="15"/>
  <c r="I550" i="15"/>
  <c r="H550" i="15"/>
  <c r="G550" i="15"/>
  <c r="F550" i="15"/>
  <c r="E550" i="15"/>
  <c r="D550" i="15"/>
  <c r="C550" i="15"/>
  <c r="B550" i="15"/>
  <c r="N549" i="15"/>
  <c r="M549" i="15"/>
  <c r="L549" i="15"/>
  <c r="K549" i="15"/>
  <c r="J549" i="15"/>
  <c r="I549" i="15"/>
  <c r="H549" i="15"/>
  <c r="G549" i="15"/>
  <c r="F549" i="15"/>
  <c r="E549" i="15"/>
  <c r="D549" i="15"/>
  <c r="C549" i="15"/>
  <c r="B549" i="15"/>
  <c r="N548" i="15"/>
  <c r="M548" i="15"/>
  <c r="L548" i="15"/>
  <c r="K548" i="15"/>
  <c r="J548" i="15"/>
  <c r="I548" i="15"/>
  <c r="H548" i="15"/>
  <c r="G548" i="15"/>
  <c r="F548" i="15"/>
  <c r="E548" i="15"/>
  <c r="D548" i="15"/>
  <c r="C548" i="15"/>
  <c r="B548" i="15"/>
  <c r="N547" i="15"/>
  <c r="M547" i="15"/>
  <c r="L547" i="15"/>
  <c r="K547" i="15"/>
  <c r="J547" i="15"/>
  <c r="I547" i="15"/>
  <c r="H547" i="15"/>
  <c r="G547" i="15"/>
  <c r="F547" i="15"/>
  <c r="E547" i="15"/>
  <c r="D547" i="15"/>
  <c r="C547" i="15"/>
  <c r="B547" i="15"/>
  <c r="N546" i="15"/>
  <c r="M546" i="15"/>
  <c r="L546" i="15"/>
  <c r="K546" i="15"/>
  <c r="J546" i="15"/>
  <c r="I546" i="15"/>
  <c r="H546" i="15"/>
  <c r="G546" i="15"/>
  <c r="F546" i="15"/>
  <c r="E546" i="15"/>
  <c r="D546" i="15"/>
  <c r="C546" i="15"/>
  <c r="B546" i="15"/>
  <c r="N545" i="15"/>
  <c r="M545" i="15"/>
  <c r="L545" i="15"/>
  <c r="K545" i="15"/>
  <c r="J545" i="15"/>
  <c r="I545" i="15"/>
  <c r="H545" i="15"/>
  <c r="G545" i="15"/>
  <c r="F545" i="15"/>
  <c r="E545" i="15"/>
  <c r="D545" i="15"/>
  <c r="C545" i="15"/>
  <c r="B545" i="15"/>
  <c r="N544" i="15"/>
  <c r="M544" i="15"/>
  <c r="L544" i="15"/>
  <c r="K544" i="15"/>
  <c r="J544" i="15"/>
  <c r="I544" i="15"/>
  <c r="H544" i="15"/>
  <c r="G544" i="15"/>
  <c r="F544" i="15"/>
  <c r="E544" i="15"/>
  <c r="D544" i="15"/>
  <c r="C544" i="15"/>
  <c r="B544" i="15"/>
  <c r="N543" i="15"/>
  <c r="M543" i="15"/>
  <c r="L543" i="15"/>
  <c r="K543" i="15"/>
  <c r="J543" i="15"/>
  <c r="I543" i="15"/>
  <c r="H543" i="15"/>
  <c r="G543" i="15"/>
  <c r="F543" i="15"/>
  <c r="E543" i="15"/>
  <c r="D543" i="15"/>
  <c r="C543" i="15"/>
  <c r="B543" i="15"/>
  <c r="N542" i="15"/>
  <c r="M542" i="15"/>
  <c r="L542" i="15"/>
  <c r="K542" i="15"/>
  <c r="J542" i="15"/>
  <c r="I542" i="15"/>
  <c r="H542" i="15"/>
  <c r="G542" i="15"/>
  <c r="F542" i="15"/>
  <c r="E542" i="15"/>
  <c r="D542" i="15"/>
  <c r="C542" i="15"/>
  <c r="B542" i="15"/>
  <c r="N541" i="15"/>
  <c r="M541" i="15"/>
  <c r="L541" i="15"/>
  <c r="K541" i="15"/>
  <c r="J541" i="15"/>
  <c r="I541" i="15"/>
  <c r="H541" i="15"/>
  <c r="G541" i="15"/>
  <c r="F541" i="15"/>
  <c r="E541" i="15"/>
  <c r="D541" i="15"/>
  <c r="C541" i="15"/>
  <c r="B541" i="15"/>
  <c r="N540" i="15"/>
  <c r="M540" i="15"/>
  <c r="L540" i="15"/>
  <c r="K540" i="15"/>
  <c r="J540" i="15"/>
  <c r="I540" i="15"/>
  <c r="H540" i="15"/>
  <c r="G540" i="15"/>
  <c r="F540" i="15"/>
  <c r="E540" i="15"/>
  <c r="D540" i="15"/>
  <c r="C540" i="15"/>
  <c r="B540" i="15"/>
  <c r="N539" i="15"/>
  <c r="M539" i="15"/>
  <c r="L539" i="15"/>
  <c r="K539" i="15"/>
  <c r="J539" i="15"/>
  <c r="I539" i="15"/>
  <c r="H539" i="15"/>
  <c r="G539" i="15"/>
  <c r="F539" i="15"/>
  <c r="E539" i="15"/>
  <c r="D539" i="15"/>
  <c r="C539" i="15"/>
  <c r="B539" i="15"/>
  <c r="N538" i="15"/>
  <c r="M538" i="15"/>
  <c r="L538" i="15"/>
  <c r="K538" i="15"/>
  <c r="J538" i="15"/>
  <c r="I538" i="15"/>
  <c r="H538" i="15"/>
  <c r="G538" i="15"/>
  <c r="F538" i="15"/>
  <c r="E538" i="15"/>
  <c r="D538" i="15"/>
  <c r="C538" i="15"/>
  <c r="B538" i="15"/>
  <c r="N537" i="15"/>
  <c r="M537" i="15"/>
  <c r="L537" i="15"/>
  <c r="K537" i="15"/>
  <c r="J537" i="15"/>
  <c r="I537" i="15"/>
  <c r="H537" i="15"/>
  <c r="G537" i="15"/>
  <c r="F537" i="15"/>
  <c r="E537" i="15"/>
  <c r="D537" i="15"/>
  <c r="C537" i="15"/>
  <c r="B537" i="15"/>
  <c r="N536" i="15"/>
  <c r="M536" i="15"/>
  <c r="L536" i="15"/>
  <c r="K536" i="15"/>
  <c r="J536" i="15"/>
  <c r="I536" i="15"/>
  <c r="H536" i="15"/>
  <c r="G536" i="15"/>
  <c r="F536" i="15"/>
  <c r="E536" i="15"/>
  <c r="D536" i="15"/>
  <c r="C536" i="15"/>
  <c r="B536" i="15"/>
  <c r="N535" i="15"/>
  <c r="M535" i="15"/>
  <c r="L535" i="15"/>
  <c r="K535" i="15"/>
  <c r="J535" i="15"/>
  <c r="I535" i="15"/>
  <c r="H535" i="15"/>
  <c r="G535" i="15"/>
  <c r="F535" i="15"/>
  <c r="E535" i="15"/>
  <c r="D535" i="15"/>
  <c r="C535" i="15"/>
  <c r="B535" i="15"/>
  <c r="N534" i="15"/>
  <c r="M534" i="15"/>
  <c r="L534" i="15"/>
  <c r="K534" i="15"/>
  <c r="J534" i="15"/>
  <c r="I534" i="15"/>
  <c r="H534" i="15"/>
  <c r="G534" i="15"/>
  <c r="F534" i="15"/>
  <c r="E534" i="15"/>
  <c r="D534" i="15"/>
  <c r="C534" i="15"/>
  <c r="B534" i="15"/>
  <c r="N533" i="15"/>
  <c r="M533" i="15"/>
  <c r="L533" i="15"/>
  <c r="K533" i="15"/>
  <c r="J533" i="15"/>
  <c r="I533" i="15"/>
  <c r="H533" i="15"/>
  <c r="G533" i="15"/>
  <c r="F533" i="15"/>
  <c r="E533" i="15"/>
  <c r="D533" i="15"/>
  <c r="C533" i="15"/>
  <c r="B533" i="15"/>
  <c r="N532" i="15"/>
  <c r="M532" i="15"/>
  <c r="L532" i="15"/>
  <c r="K532" i="15"/>
  <c r="J532" i="15"/>
  <c r="I532" i="15"/>
  <c r="H532" i="15"/>
  <c r="G532" i="15"/>
  <c r="F532" i="15"/>
  <c r="E532" i="15"/>
  <c r="D532" i="15"/>
  <c r="C532" i="15"/>
  <c r="B532" i="15"/>
  <c r="N531" i="15"/>
  <c r="M531" i="15"/>
  <c r="L531" i="15"/>
  <c r="K531" i="15"/>
  <c r="J531" i="15"/>
  <c r="I531" i="15"/>
  <c r="H531" i="15"/>
  <c r="G531" i="15"/>
  <c r="F531" i="15"/>
  <c r="E531" i="15"/>
  <c r="D531" i="15"/>
  <c r="C531" i="15"/>
  <c r="B531" i="15"/>
  <c r="N530" i="15"/>
  <c r="M530" i="15"/>
  <c r="L530" i="15"/>
  <c r="K530" i="15"/>
  <c r="J530" i="15"/>
  <c r="I530" i="15"/>
  <c r="H530" i="15"/>
  <c r="G530" i="15"/>
  <c r="F530" i="15"/>
  <c r="E530" i="15"/>
  <c r="D530" i="15"/>
  <c r="C530" i="15"/>
  <c r="B530" i="15"/>
  <c r="N529" i="15"/>
  <c r="M529" i="15"/>
  <c r="L529" i="15"/>
  <c r="K529" i="15"/>
  <c r="J529" i="15"/>
  <c r="I529" i="15"/>
  <c r="H529" i="15"/>
  <c r="G529" i="15"/>
  <c r="F529" i="15"/>
  <c r="E529" i="15"/>
  <c r="D529" i="15"/>
  <c r="C529" i="15"/>
  <c r="B529" i="15"/>
  <c r="N528" i="15"/>
  <c r="M528" i="15"/>
  <c r="L528" i="15"/>
  <c r="K528" i="15"/>
  <c r="J528" i="15"/>
  <c r="I528" i="15"/>
  <c r="H528" i="15"/>
  <c r="G528" i="15"/>
  <c r="F528" i="15"/>
  <c r="E528" i="15"/>
  <c r="D528" i="15"/>
  <c r="C528" i="15"/>
  <c r="B528" i="15"/>
  <c r="N527" i="15"/>
  <c r="M527" i="15"/>
  <c r="L527" i="15"/>
  <c r="K527" i="15"/>
  <c r="J527" i="15"/>
  <c r="I527" i="15"/>
  <c r="H527" i="15"/>
  <c r="G527" i="15"/>
  <c r="F527" i="15"/>
  <c r="E527" i="15"/>
  <c r="D527" i="15"/>
  <c r="C527" i="15"/>
  <c r="B527" i="15"/>
  <c r="N526" i="15"/>
  <c r="M526" i="15"/>
  <c r="L526" i="15"/>
  <c r="K526" i="15"/>
  <c r="J526" i="15"/>
  <c r="I526" i="15"/>
  <c r="H526" i="15"/>
  <c r="G526" i="15"/>
  <c r="F526" i="15"/>
  <c r="E526" i="15"/>
  <c r="D526" i="15"/>
  <c r="C526" i="15"/>
  <c r="B526" i="15"/>
  <c r="N525" i="15"/>
  <c r="M525" i="15"/>
  <c r="L525" i="15"/>
  <c r="K525" i="15"/>
  <c r="J525" i="15"/>
  <c r="I525" i="15"/>
  <c r="H525" i="15"/>
  <c r="G525" i="15"/>
  <c r="F525" i="15"/>
  <c r="E525" i="15"/>
  <c r="D525" i="15"/>
  <c r="C525" i="15"/>
  <c r="B525" i="15"/>
  <c r="N524" i="15"/>
  <c r="M524" i="15"/>
  <c r="L524" i="15"/>
  <c r="K524" i="15"/>
  <c r="J524" i="15"/>
  <c r="I524" i="15"/>
  <c r="H524" i="15"/>
  <c r="G524" i="15"/>
  <c r="F524" i="15"/>
  <c r="E524" i="15"/>
  <c r="D524" i="15"/>
  <c r="C524" i="15"/>
  <c r="B524" i="15"/>
  <c r="N523" i="15"/>
  <c r="M523" i="15"/>
  <c r="L523" i="15"/>
  <c r="K523" i="15"/>
  <c r="J523" i="15"/>
  <c r="I523" i="15"/>
  <c r="H523" i="15"/>
  <c r="G523" i="15"/>
  <c r="F523" i="15"/>
  <c r="E523" i="15"/>
  <c r="D523" i="15"/>
  <c r="C523" i="15"/>
  <c r="B523" i="15"/>
  <c r="N522" i="15"/>
  <c r="M522" i="15"/>
  <c r="L522" i="15"/>
  <c r="K522" i="15"/>
  <c r="J522" i="15"/>
  <c r="I522" i="15"/>
  <c r="H522" i="15"/>
  <c r="G522" i="15"/>
  <c r="F522" i="15"/>
  <c r="E522" i="15"/>
  <c r="D522" i="15"/>
  <c r="C522" i="15"/>
  <c r="B522" i="15"/>
  <c r="N521" i="15"/>
  <c r="M521" i="15"/>
  <c r="L521" i="15"/>
  <c r="K521" i="15"/>
  <c r="J521" i="15"/>
  <c r="I521" i="15"/>
  <c r="H521" i="15"/>
  <c r="G521" i="15"/>
  <c r="F521" i="15"/>
  <c r="E521" i="15"/>
  <c r="D521" i="15"/>
  <c r="C521" i="15"/>
  <c r="B521" i="15"/>
  <c r="N520" i="15"/>
  <c r="M520" i="15"/>
  <c r="L520" i="15"/>
  <c r="K520" i="15"/>
  <c r="J520" i="15"/>
  <c r="I520" i="15"/>
  <c r="H520" i="15"/>
  <c r="G520" i="15"/>
  <c r="F520" i="15"/>
  <c r="E520" i="15"/>
  <c r="D520" i="15"/>
  <c r="C520" i="15"/>
  <c r="B520" i="15"/>
  <c r="N519" i="15"/>
  <c r="M519" i="15"/>
  <c r="L519" i="15"/>
  <c r="K519" i="15"/>
  <c r="J519" i="15"/>
  <c r="I519" i="15"/>
  <c r="H519" i="15"/>
  <c r="G519" i="15"/>
  <c r="F519" i="15"/>
  <c r="E519" i="15"/>
  <c r="D519" i="15"/>
  <c r="C519" i="15"/>
  <c r="B519" i="15"/>
  <c r="N518" i="15"/>
  <c r="M518" i="15"/>
  <c r="L518" i="15"/>
  <c r="K518" i="15"/>
  <c r="J518" i="15"/>
  <c r="I518" i="15"/>
  <c r="H518" i="15"/>
  <c r="G518" i="15"/>
  <c r="F518" i="15"/>
  <c r="E518" i="15"/>
  <c r="D518" i="15"/>
  <c r="C518" i="15"/>
  <c r="B518" i="15"/>
  <c r="N517" i="15"/>
  <c r="M517" i="15"/>
  <c r="L517" i="15"/>
  <c r="K517" i="15"/>
  <c r="J517" i="15"/>
  <c r="I517" i="15"/>
  <c r="H517" i="15"/>
  <c r="G517" i="15"/>
  <c r="F517" i="15"/>
  <c r="E517" i="15"/>
  <c r="D517" i="15"/>
  <c r="C517" i="15"/>
  <c r="B517" i="15"/>
  <c r="N516" i="15"/>
  <c r="M516" i="15"/>
  <c r="L516" i="15"/>
  <c r="K516" i="15"/>
  <c r="J516" i="15"/>
  <c r="I516" i="15"/>
  <c r="H516" i="15"/>
  <c r="G516" i="15"/>
  <c r="F516" i="15"/>
  <c r="E516" i="15"/>
  <c r="D516" i="15"/>
  <c r="C516" i="15"/>
  <c r="B516" i="15"/>
  <c r="N515" i="15"/>
  <c r="M515" i="15"/>
  <c r="L515" i="15"/>
  <c r="K515" i="15"/>
  <c r="J515" i="15"/>
  <c r="I515" i="15"/>
  <c r="H515" i="15"/>
  <c r="G515" i="15"/>
  <c r="F515" i="15"/>
  <c r="E515" i="15"/>
  <c r="D515" i="15"/>
  <c r="C515" i="15"/>
  <c r="B515" i="15"/>
  <c r="N514" i="15"/>
  <c r="M514" i="15"/>
  <c r="L514" i="15"/>
  <c r="K514" i="15"/>
  <c r="J514" i="15"/>
  <c r="I514" i="15"/>
  <c r="H514" i="15"/>
  <c r="G514" i="15"/>
  <c r="F514" i="15"/>
  <c r="E514" i="15"/>
  <c r="D514" i="15"/>
  <c r="C514" i="15"/>
  <c r="B514" i="15"/>
  <c r="N513" i="15"/>
  <c r="M513" i="15"/>
  <c r="L513" i="15"/>
  <c r="K513" i="15"/>
  <c r="J513" i="15"/>
  <c r="I513" i="15"/>
  <c r="H513" i="15"/>
  <c r="G513" i="15"/>
  <c r="F513" i="15"/>
  <c r="E513" i="15"/>
  <c r="D513" i="15"/>
  <c r="C513" i="15"/>
  <c r="B513" i="15"/>
  <c r="N512" i="15"/>
  <c r="M512" i="15"/>
  <c r="L512" i="15"/>
  <c r="K512" i="15"/>
  <c r="J512" i="15"/>
  <c r="I512" i="15"/>
  <c r="H512" i="15"/>
  <c r="G512" i="15"/>
  <c r="F512" i="15"/>
  <c r="E512" i="15"/>
  <c r="D512" i="15"/>
  <c r="C512" i="15"/>
  <c r="B512" i="15"/>
  <c r="N511" i="15"/>
  <c r="M511" i="15"/>
  <c r="L511" i="15"/>
  <c r="K511" i="15"/>
  <c r="J511" i="15"/>
  <c r="I511" i="15"/>
  <c r="H511" i="15"/>
  <c r="G511" i="15"/>
  <c r="F511" i="15"/>
  <c r="E511" i="15"/>
  <c r="D511" i="15"/>
  <c r="C511" i="15"/>
  <c r="B511" i="15"/>
  <c r="N510" i="15"/>
  <c r="M510" i="15"/>
  <c r="L510" i="15"/>
  <c r="K510" i="15"/>
  <c r="J510" i="15"/>
  <c r="I510" i="15"/>
  <c r="H510" i="15"/>
  <c r="G510" i="15"/>
  <c r="F510" i="15"/>
  <c r="E510" i="15"/>
  <c r="D510" i="15"/>
  <c r="C510" i="15"/>
  <c r="B510" i="15"/>
  <c r="N509" i="15"/>
  <c r="M509" i="15"/>
  <c r="L509" i="15"/>
  <c r="K509" i="15"/>
  <c r="J509" i="15"/>
  <c r="I509" i="15"/>
  <c r="H509" i="15"/>
  <c r="G509" i="15"/>
  <c r="F509" i="15"/>
  <c r="E509" i="15"/>
  <c r="D509" i="15"/>
  <c r="C509" i="15"/>
  <c r="B509" i="15"/>
  <c r="N508" i="15"/>
  <c r="M508" i="15"/>
  <c r="L508" i="15"/>
  <c r="K508" i="15"/>
  <c r="J508" i="15"/>
  <c r="I508" i="15"/>
  <c r="H508" i="15"/>
  <c r="G508" i="15"/>
  <c r="F508" i="15"/>
  <c r="E508" i="15"/>
  <c r="D508" i="15"/>
  <c r="C508" i="15"/>
  <c r="B508" i="15"/>
  <c r="N507" i="15"/>
  <c r="M507" i="15"/>
  <c r="L507" i="15"/>
  <c r="K507" i="15"/>
  <c r="J507" i="15"/>
  <c r="I507" i="15"/>
  <c r="H507" i="15"/>
  <c r="G507" i="15"/>
  <c r="F507" i="15"/>
  <c r="E507" i="15"/>
  <c r="D507" i="15"/>
  <c r="C507" i="15"/>
  <c r="B507" i="15"/>
  <c r="N506" i="15"/>
  <c r="M506" i="15"/>
  <c r="L506" i="15"/>
  <c r="K506" i="15"/>
  <c r="J506" i="15"/>
  <c r="I506" i="15"/>
  <c r="H506" i="15"/>
  <c r="G506" i="15"/>
  <c r="F506" i="15"/>
  <c r="E506" i="15"/>
  <c r="D506" i="15"/>
  <c r="C506" i="15"/>
  <c r="N505" i="15"/>
  <c r="M505" i="15"/>
  <c r="L505" i="15"/>
  <c r="K505" i="15"/>
  <c r="J505" i="15"/>
  <c r="I505" i="15"/>
  <c r="H505" i="15"/>
  <c r="G505" i="15"/>
  <c r="F505" i="15"/>
  <c r="E505" i="15"/>
  <c r="D505" i="15"/>
  <c r="C505" i="15"/>
  <c r="N504" i="15"/>
  <c r="M504" i="15"/>
  <c r="L504" i="15"/>
  <c r="K504" i="15"/>
  <c r="J504" i="15"/>
  <c r="I504" i="15"/>
  <c r="H504" i="15"/>
  <c r="G504" i="15"/>
  <c r="F504" i="15"/>
  <c r="E504" i="15"/>
  <c r="D504" i="15"/>
  <c r="C504" i="15"/>
  <c r="N503" i="15"/>
  <c r="M503" i="15"/>
  <c r="L503" i="15"/>
  <c r="K503" i="15"/>
  <c r="J503" i="15"/>
  <c r="I503" i="15"/>
  <c r="H503" i="15"/>
  <c r="G503" i="15"/>
  <c r="F503" i="15"/>
  <c r="E503" i="15"/>
  <c r="D503" i="15"/>
  <c r="C503" i="15"/>
  <c r="N502" i="15"/>
  <c r="M502" i="15"/>
  <c r="L502" i="15"/>
  <c r="K502" i="15"/>
  <c r="J502" i="15"/>
  <c r="I502" i="15"/>
  <c r="H502" i="15"/>
  <c r="G502" i="15"/>
  <c r="F502" i="15"/>
  <c r="E502" i="15"/>
  <c r="D502" i="15"/>
  <c r="C502" i="15"/>
  <c r="N501" i="15"/>
  <c r="M501" i="15"/>
  <c r="L501" i="15"/>
  <c r="K501" i="15"/>
  <c r="J501" i="15"/>
  <c r="I501" i="15"/>
  <c r="H501" i="15"/>
  <c r="G501" i="15"/>
  <c r="F501" i="15"/>
  <c r="E501" i="15"/>
  <c r="D501" i="15"/>
  <c r="C501" i="15"/>
  <c r="N500" i="15"/>
  <c r="M500" i="15"/>
  <c r="L500" i="15"/>
  <c r="K500" i="15"/>
  <c r="J500" i="15"/>
  <c r="I500" i="15"/>
  <c r="H500" i="15"/>
  <c r="G500" i="15"/>
  <c r="F500" i="15"/>
  <c r="E500" i="15"/>
  <c r="D500" i="15"/>
  <c r="C500" i="15"/>
  <c r="N499" i="15"/>
  <c r="M499" i="15"/>
  <c r="L499" i="15"/>
  <c r="K499" i="15"/>
  <c r="J499" i="15"/>
  <c r="I499" i="15"/>
  <c r="H499" i="15"/>
  <c r="G499" i="15"/>
  <c r="F499" i="15"/>
  <c r="E499" i="15"/>
  <c r="D499" i="15"/>
  <c r="C499" i="15"/>
  <c r="N498" i="15"/>
  <c r="M498" i="15"/>
  <c r="L498" i="15"/>
  <c r="K498" i="15"/>
  <c r="J498" i="15"/>
  <c r="I498" i="15"/>
  <c r="H498" i="15"/>
  <c r="G498" i="15"/>
  <c r="F498" i="15"/>
  <c r="E498" i="15"/>
  <c r="D498" i="15"/>
  <c r="C498" i="15"/>
  <c r="N497" i="15"/>
  <c r="M497" i="15"/>
  <c r="L497" i="15"/>
  <c r="K497" i="15"/>
  <c r="J497" i="15"/>
  <c r="I497" i="15"/>
  <c r="H497" i="15"/>
  <c r="G497" i="15"/>
  <c r="F497" i="15"/>
  <c r="E497" i="15"/>
  <c r="D497" i="15"/>
  <c r="C497" i="15"/>
  <c r="N496" i="15"/>
  <c r="M496" i="15"/>
  <c r="L496" i="15"/>
  <c r="K496" i="15"/>
  <c r="J496" i="15"/>
  <c r="I496" i="15"/>
  <c r="H496" i="15"/>
  <c r="G496" i="15"/>
  <c r="F496" i="15"/>
  <c r="E496" i="15"/>
  <c r="D496" i="15"/>
  <c r="C496" i="15"/>
  <c r="N495" i="15"/>
  <c r="M495" i="15"/>
  <c r="L495" i="15"/>
  <c r="K495" i="15"/>
  <c r="J495" i="15"/>
  <c r="I495" i="15"/>
  <c r="H495" i="15"/>
  <c r="G495" i="15"/>
  <c r="F495" i="15"/>
  <c r="E495" i="15"/>
  <c r="D495" i="15"/>
  <c r="C495" i="15"/>
  <c r="N494" i="15"/>
  <c r="M494" i="15"/>
  <c r="L494" i="15"/>
  <c r="K494" i="15"/>
  <c r="J494" i="15"/>
  <c r="I494" i="15"/>
  <c r="H494" i="15"/>
  <c r="G494" i="15"/>
  <c r="F494" i="15"/>
  <c r="E494" i="15"/>
  <c r="D494" i="15"/>
  <c r="C494" i="15"/>
  <c r="N493" i="15"/>
  <c r="M493" i="15"/>
  <c r="L493" i="15"/>
  <c r="K493" i="15"/>
  <c r="J493" i="15"/>
  <c r="I493" i="15"/>
  <c r="H493" i="15"/>
  <c r="G493" i="15"/>
  <c r="F493" i="15"/>
  <c r="E493" i="15"/>
  <c r="D493" i="15"/>
  <c r="C493" i="15"/>
  <c r="N492" i="15"/>
  <c r="M492" i="15"/>
  <c r="L492" i="15"/>
  <c r="K492" i="15"/>
  <c r="J492" i="15"/>
  <c r="I492" i="15"/>
  <c r="H492" i="15"/>
  <c r="G492" i="15"/>
  <c r="F492" i="15"/>
  <c r="E492" i="15"/>
  <c r="D492" i="15"/>
  <c r="C492" i="15"/>
  <c r="N491" i="15"/>
  <c r="M491" i="15"/>
  <c r="L491" i="15"/>
  <c r="K491" i="15"/>
  <c r="J491" i="15"/>
  <c r="I491" i="15"/>
  <c r="H491" i="15"/>
  <c r="G491" i="15"/>
  <c r="F491" i="15"/>
  <c r="E491" i="15"/>
  <c r="D491" i="15"/>
  <c r="C491" i="15"/>
  <c r="N490" i="15"/>
  <c r="M490" i="15"/>
  <c r="L490" i="15"/>
  <c r="K490" i="15"/>
  <c r="J490" i="15"/>
  <c r="I490" i="15"/>
  <c r="H490" i="15"/>
  <c r="G490" i="15"/>
  <c r="F490" i="15"/>
  <c r="E490" i="15"/>
  <c r="D490" i="15"/>
  <c r="C490" i="15"/>
  <c r="N489" i="15"/>
  <c r="M489" i="15"/>
  <c r="L489" i="15"/>
  <c r="K489" i="15"/>
  <c r="J489" i="15"/>
  <c r="I489" i="15"/>
  <c r="H489" i="15"/>
  <c r="G489" i="15"/>
  <c r="F489" i="15"/>
  <c r="E489" i="15"/>
  <c r="D489" i="15"/>
  <c r="C489" i="15"/>
  <c r="N488" i="15"/>
  <c r="M488" i="15"/>
  <c r="L488" i="15"/>
  <c r="K488" i="15"/>
  <c r="J488" i="15"/>
  <c r="I488" i="15"/>
  <c r="H488" i="15"/>
  <c r="G488" i="15"/>
  <c r="F488" i="15"/>
  <c r="E488" i="15"/>
  <c r="D488" i="15"/>
  <c r="C488" i="15"/>
  <c r="N487" i="15"/>
  <c r="M487" i="15"/>
  <c r="L487" i="15"/>
  <c r="K487" i="15"/>
  <c r="J487" i="15"/>
  <c r="I487" i="15"/>
  <c r="H487" i="15"/>
  <c r="G487" i="15"/>
  <c r="F487" i="15"/>
  <c r="E487" i="15"/>
  <c r="D487" i="15"/>
  <c r="C487" i="15"/>
  <c r="N486" i="15"/>
  <c r="M486" i="15"/>
  <c r="L486" i="15"/>
  <c r="K486" i="15"/>
  <c r="J486" i="15"/>
  <c r="I486" i="15"/>
  <c r="H486" i="15"/>
  <c r="G486" i="15"/>
  <c r="F486" i="15"/>
  <c r="E486" i="15"/>
  <c r="D486" i="15"/>
  <c r="C486" i="15"/>
  <c r="N485" i="15"/>
  <c r="M485" i="15"/>
  <c r="L485" i="15"/>
  <c r="K485" i="15"/>
  <c r="J485" i="15"/>
  <c r="I485" i="15"/>
  <c r="H485" i="15"/>
  <c r="G485" i="15"/>
  <c r="F485" i="15"/>
  <c r="E485" i="15"/>
  <c r="D485" i="15"/>
  <c r="C485" i="15"/>
  <c r="N484" i="15"/>
  <c r="M484" i="15"/>
  <c r="L484" i="15"/>
  <c r="K484" i="15"/>
  <c r="J484" i="15"/>
  <c r="I484" i="15"/>
  <c r="H484" i="15"/>
  <c r="G484" i="15"/>
  <c r="F484" i="15"/>
  <c r="E484" i="15"/>
  <c r="D484" i="15"/>
  <c r="C484" i="15"/>
  <c r="N483" i="15"/>
  <c r="M483" i="15"/>
  <c r="L483" i="15"/>
  <c r="K483" i="15"/>
  <c r="J483" i="15"/>
  <c r="I483" i="15"/>
  <c r="H483" i="15"/>
  <c r="G483" i="15"/>
  <c r="F483" i="15"/>
  <c r="E483" i="15"/>
  <c r="D483" i="15"/>
  <c r="C483" i="15"/>
  <c r="N482" i="15"/>
  <c r="M482" i="15"/>
  <c r="L482" i="15"/>
  <c r="K482" i="15"/>
  <c r="J482" i="15"/>
  <c r="I482" i="15"/>
  <c r="H482" i="15"/>
  <c r="G482" i="15"/>
  <c r="F482" i="15"/>
  <c r="E482" i="15"/>
  <c r="D482" i="15"/>
  <c r="C482" i="15"/>
  <c r="N481" i="15"/>
  <c r="M481" i="15"/>
  <c r="L481" i="15"/>
  <c r="K481" i="15"/>
  <c r="J481" i="15"/>
  <c r="I481" i="15"/>
  <c r="H481" i="15"/>
  <c r="G481" i="15"/>
  <c r="F481" i="15"/>
  <c r="E481" i="15"/>
  <c r="D481" i="15"/>
  <c r="C481" i="15"/>
  <c r="N480" i="15"/>
  <c r="M480" i="15"/>
  <c r="L480" i="15"/>
  <c r="K480" i="15"/>
  <c r="J480" i="15"/>
  <c r="I480" i="15"/>
  <c r="H480" i="15"/>
  <c r="G480" i="15"/>
  <c r="F480" i="15"/>
  <c r="E480" i="15"/>
  <c r="D480" i="15"/>
  <c r="C480" i="15"/>
  <c r="N479" i="15"/>
  <c r="M479" i="15"/>
  <c r="L479" i="15"/>
  <c r="K479" i="15"/>
  <c r="J479" i="15"/>
  <c r="I479" i="15"/>
  <c r="H479" i="15"/>
  <c r="G479" i="15"/>
  <c r="F479" i="15"/>
  <c r="E479" i="15"/>
  <c r="D479" i="15"/>
  <c r="C479" i="15"/>
  <c r="N478" i="15"/>
  <c r="M478" i="15"/>
  <c r="L478" i="15"/>
  <c r="K478" i="15"/>
  <c r="J478" i="15"/>
  <c r="I478" i="15"/>
  <c r="H478" i="15"/>
  <c r="G478" i="15"/>
  <c r="F478" i="15"/>
  <c r="E478" i="15"/>
  <c r="D478" i="15"/>
  <c r="C478" i="15"/>
  <c r="N477" i="15"/>
  <c r="M477" i="15"/>
  <c r="L477" i="15"/>
  <c r="K477" i="15"/>
  <c r="J477" i="15"/>
  <c r="I477" i="15"/>
  <c r="H477" i="15"/>
  <c r="G477" i="15"/>
  <c r="F477" i="15"/>
  <c r="E477" i="15"/>
  <c r="D477" i="15"/>
  <c r="C477" i="15"/>
  <c r="N476" i="15"/>
  <c r="M476" i="15"/>
  <c r="L476" i="15"/>
  <c r="K476" i="15"/>
  <c r="J476" i="15"/>
  <c r="I476" i="15"/>
  <c r="H476" i="15"/>
  <c r="G476" i="15"/>
  <c r="F476" i="15"/>
  <c r="E476" i="15"/>
  <c r="D476" i="15"/>
  <c r="C476" i="15"/>
  <c r="N475" i="15"/>
  <c r="M475" i="15"/>
  <c r="L475" i="15"/>
  <c r="K475" i="15"/>
  <c r="J475" i="15"/>
  <c r="I475" i="15"/>
  <c r="H475" i="15"/>
  <c r="G475" i="15"/>
  <c r="F475" i="15"/>
  <c r="E475" i="15"/>
  <c r="D475" i="15"/>
  <c r="C475" i="15"/>
  <c r="N474" i="15"/>
  <c r="M474" i="15"/>
  <c r="L474" i="15"/>
  <c r="K474" i="15"/>
  <c r="J474" i="15"/>
  <c r="I474" i="15"/>
  <c r="H474" i="15"/>
  <c r="G474" i="15"/>
  <c r="F474" i="15"/>
  <c r="E474" i="15"/>
  <c r="D474" i="15"/>
  <c r="C474" i="15"/>
  <c r="N473" i="15"/>
  <c r="M473" i="15"/>
  <c r="L473" i="15"/>
  <c r="K473" i="15"/>
  <c r="J473" i="15"/>
  <c r="I473" i="15"/>
  <c r="H473" i="15"/>
  <c r="G473" i="15"/>
  <c r="F473" i="15"/>
  <c r="E473" i="15"/>
  <c r="D473" i="15"/>
  <c r="C473" i="15"/>
  <c r="N472" i="15"/>
  <c r="M472" i="15"/>
  <c r="L472" i="15"/>
  <c r="K472" i="15"/>
  <c r="J472" i="15"/>
  <c r="I472" i="15"/>
  <c r="H472" i="15"/>
  <c r="G472" i="15"/>
  <c r="F472" i="15"/>
  <c r="E472" i="15"/>
  <c r="D472" i="15"/>
  <c r="C472" i="15"/>
  <c r="N471" i="15"/>
  <c r="M471" i="15"/>
  <c r="L471" i="15"/>
  <c r="K471" i="15"/>
  <c r="J471" i="15"/>
  <c r="I471" i="15"/>
  <c r="H471" i="15"/>
  <c r="G471" i="15"/>
  <c r="F471" i="15"/>
  <c r="E471" i="15"/>
  <c r="D471" i="15"/>
  <c r="C471" i="15"/>
  <c r="N470" i="15"/>
  <c r="M470" i="15"/>
  <c r="L470" i="15"/>
  <c r="K470" i="15"/>
  <c r="J470" i="15"/>
  <c r="I470" i="15"/>
  <c r="H470" i="15"/>
  <c r="G470" i="15"/>
  <c r="F470" i="15"/>
  <c r="E470" i="15"/>
  <c r="D470" i="15"/>
  <c r="C470" i="15"/>
  <c r="N469" i="15"/>
  <c r="M469" i="15"/>
  <c r="L469" i="15"/>
  <c r="K469" i="15"/>
  <c r="J469" i="15"/>
  <c r="I469" i="15"/>
  <c r="H469" i="15"/>
  <c r="G469" i="15"/>
  <c r="F469" i="15"/>
  <c r="E469" i="15"/>
  <c r="D469" i="15"/>
  <c r="C469" i="15"/>
  <c r="N468" i="15"/>
  <c r="M468" i="15"/>
  <c r="L468" i="15"/>
  <c r="K468" i="15"/>
  <c r="J468" i="15"/>
  <c r="I468" i="15"/>
  <c r="H468" i="15"/>
  <c r="G468" i="15"/>
  <c r="F468" i="15"/>
  <c r="E468" i="15"/>
  <c r="D468" i="15"/>
  <c r="C468" i="15"/>
  <c r="N467" i="15"/>
  <c r="M467" i="15"/>
  <c r="L467" i="15"/>
  <c r="K467" i="15"/>
  <c r="J467" i="15"/>
  <c r="I467" i="15"/>
  <c r="H467" i="15"/>
  <c r="G467" i="15"/>
  <c r="F467" i="15"/>
  <c r="E467" i="15"/>
  <c r="D467" i="15"/>
  <c r="C467" i="15"/>
  <c r="N466" i="15"/>
  <c r="M466" i="15"/>
  <c r="L466" i="15"/>
  <c r="K466" i="15"/>
  <c r="J466" i="15"/>
  <c r="I466" i="15"/>
  <c r="H466" i="15"/>
  <c r="G466" i="15"/>
  <c r="F466" i="15"/>
  <c r="E466" i="15"/>
  <c r="D466" i="15"/>
  <c r="C466" i="15"/>
  <c r="N465" i="15"/>
  <c r="M465" i="15"/>
  <c r="L465" i="15"/>
  <c r="K465" i="15"/>
  <c r="J465" i="15"/>
  <c r="I465" i="15"/>
  <c r="H465" i="15"/>
  <c r="G465" i="15"/>
  <c r="F465" i="15"/>
  <c r="E465" i="15"/>
  <c r="D465" i="15"/>
  <c r="C465" i="15"/>
  <c r="N464" i="15"/>
  <c r="M464" i="15"/>
  <c r="L464" i="15"/>
  <c r="K464" i="15"/>
  <c r="J464" i="15"/>
  <c r="I464" i="15"/>
  <c r="H464" i="15"/>
  <c r="G464" i="15"/>
  <c r="F464" i="15"/>
  <c r="E464" i="15"/>
  <c r="D464" i="15"/>
  <c r="C464" i="15"/>
  <c r="N463" i="15"/>
  <c r="M463" i="15"/>
  <c r="L463" i="15"/>
  <c r="K463" i="15"/>
  <c r="J463" i="15"/>
  <c r="I463" i="15"/>
  <c r="H463" i="15"/>
  <c r="G463" i="15"/>
  <c r="F463" i="15"/>
  <c r="E463" i="15"/>
  <c r="D463" i="15"/>
  <c r="C463" i="15"/>
  <c r="N462" i="15"/>
  <c r="M462" i="15"/>
  <c r="L462" i="15"/>
  <c r="K462" i="15"/>
  <c r="J462" i="15"/>
  <c r="I462" i="15"/>
  <c r="H462" i="15"/>
  <c r="G462" i="15"/>
  <c r="F462" i="15"/>
  <c r="E462" i="15"/>
  <c r="D462" i="15"/>
  <c r="C462" i="15"/>
  <c r="N461" i="15"/>
  <c r="M461" i="15"/>
  <c r="L461" i="15"/>
  <c r="K461" i="15"/>
  <c r="J461" i="15"/>
  <c r="I461" i="15"/>
  <c r="H461" i="15"/>
  <c r="G461" i="15"/>
  <c r="F461" i="15"/>
  <c r="E461" i="15"/>
  <c r="D461" i="15"/>
  <c r="C461" i="15"/>
  <c r="N460" i="15"/>
  <c r="M460" i="15"/>
  <c r="L460" i="15"/>
  <c r="K460" i="15"/>
  <c r="J460" i="15"/>
  <c r="I460" i="15"/>
  <c r="H460" i="15"/>
  <c r="G460" i="15"/>
  <c r="F460" i="15"/>
  <c r="E460" i="15"/>
  <c r="D460" i="15"/>
  <c r="C460" i="15"/>
  <c r="N459" i="15"/>
  <c r="M459" i="15"/>
  <c r="L459" i="15"/>
  <c r="K459" i="15"/>
  <c r="J459" i="15"/>
  <c r="I459" i="15"/>
  <c r="H459" i="15"/>
  <c r="G459" i="15"/>
  <c r="F459" i="15"/>
  <c r="E459" i="15"/>
  <c r="D459" i="15"/>
  <c r="C459" i="15"/>
  <c r="N458" i="15"/>
  <c r="M458" i="15"/>
  <c r="L458" i="15"/>
  <c r="K458" i="15"/>
  <c r="J458" i="15"/>
  <c r="I458" i="15"/>
  <c r="H458" i="15"/>
  <c r="G458" i="15"/>
  <c r="F458" i="15"/>
  <c r="E458" i="15"/>
  <c r="D458" i="15"/>
  <c r="C458" i="15"/>
  <c r="N457" i="15"/>
  <c r="M457" i="15"/>
  <c r="L457" i="15"/>
  <c r="K457" i="15"/>
  <c r="J457" i="15"/>
  <c r="I457" i="15"/>
  <c r="H457" i="15"/>
  <c r="G457" i="15"/>
  <c r="F457" i="15"/>
  <c r="E457" i="15"/>
  <c r="D457" i="15"/>
  <c r="C457" i="15"/>
  <c r="N456" i="15"/>
  <c r="M456" i="15"/>
  <c r="L456" i="15"/>
  <c r="K456" i="15"/>
  <c r="J456" i="15"/>
  <c r="I456" i="15"/>
  <c r="H456" i="15"/>
  <c r="G456" i="15"/>
  <c r="F456" i="15"/>
  <c r="E456" i="15"/>
  <c r="D456" i="15"/>
  <c r="C456" i="15"/>
  <c r="N455" i="15"/>
  <c r="M455" i="15"/>
  <c r="L455" i="15"/>
  <c r="K455" i="15"/>
  <c r="J455" i="15"/>
  <c r="I455" i="15"/>
  <c r="H455" i="15"/>
  <c r="G455" i="15"/>
  <c r="F455" i="15"/>
  <c r="E455" i="15"/>
  <c r="D455" i="15"/>
  <c r="C455" i="15"/>
  <c r="N454" i="15"/>
  <c r="M454" i="15"/>
  <c r="L454" i="15"/>
  <c r="K454" i="15"/>
  <c r="J454" i="15"/>
  <c r="I454" i="15"/>
  <c r="H454" i="15"/>
  <c r="G454" i="15"/>
  <c r="F454" i="15"/>
  <c r="E454" i="15"/>
  <c r="D454" i="15"/>
  <c r="C454" i="15"/>
  <c r="N453" i="15"/>
  <c r="M453" i="15"/>
  <c r="L453" i="15"/>
  <c r="K453" i="15"/>
  <c r="J453" i="15"/>
  <c r="I453" i="15"/>
  <c r="H453" i="15"/>
  <c r="G453" i="15"/>
  <c r="F453" i="15"/>
  <c r="E453" i="15"/>
  <c r="D453" i="15"/>
  <c r="C453" i="15"/>
  <c r="N452" i="15"/>
  <c r="M452" i="15"/>
  <c r="L452" i="15"/>
  <c r="K452" i="15"/>
  <c r="J452" i="15"/>
  <c r="I452" i="15"/>
  <c r="H452" i="15"/>
  <c r="G452" i="15"/>
  <c r="F452" i="15"/>
  <c r="E452" i="15"/>
  <c r="D452" i="15"/>
  <c r="C452" i="15"/>
  <c r="N451" i="15"/>
  <c r="M451" i="15"/>
  <c r="L451" i="15"/>
  <c r="K451" i="15"/>
  <c r="J451" i="15"/>
  <c r="I451" i="15"/>
  <c r="H451" i="15"/>
  <c r="G451" i="15"/>
  <c r="F451" i="15"/>
  <c r="E451" i="15"/>
  <c r="D451" i="15"/>
  <c r="C451" i="15"/>
  <c r="N450" i="15"/>
  <c r="M450" i="15"/>
  <c r="L450" i="15"/>
  <c r="K450" i="15"/>
  <c r="J450" i="15"/>
  <c r="I450" i="15"/>
  <c r="H450" i="15"/>
  <c r="G450" i="15"/>
  <c r="F450" i="15"/>
  <c r="E450" i="15"/>
  <c r="D450" i="15"/>
  <c r="C450" i="15"/>
  <c r="N449" i="15"/>
  <c r="M449" i="15"/>
  <c r="L449" i="15"/>
  <c r="K449" i="15"/>
  <c r="J449" i="15"/>
  <c r="I449" i="15"/>
  <c r="H449" i="15"/>
  <c r="G449" i="15"/>
  <c r="F449" i="15"/>
  <c r="E449" i="15"/>
  <c r="D449" i="15"/>
  <c r="C449" i="15"/>
  <c r="N448" i="15"/>
  <c r="M448" i="15"/>
  <c r="L448" i="15"/>
  <c r="K448" i="15"/>
  <c r="J448" i="15"/>
  <c r="I448" i="15"/>
  <c r="H448" i="15"/>
  <c r="G448" i="15"/>
  <c r="F448" i="15"/>
  <c r="E448" i="15"/>
  <c r="D448" i="15"/>
  <c r="C448" i="15"/>
  <c r="N447" i="15"/>
  <c r="M447" i="15"/>
  <c r="L447" i="15"/>
  <c r="K447" i="15"/>
  <c r="J447" i="15"/>
  <c r="I447" i="15"/>
  <c r="H447" i="15"/>
  <c r="G447" i="15"/>
  <c r="F447" i="15"/>
  <c r="E447" i="15"/>
  <c r="D447" i="15"/>
  <c r="C447" i="15"/>
  <c r="N446" i="15"/>
  <c r="M446" i="15"/>
  <c r="L446" i="15"/>
  <c r="K446" i="15"/>
  <c r="J446" i="15"/>
  <c r="I446" i="15"/>
  <c r="H446" i="15"/>
  <c r="G446" i="15"/>
  <c r="F446" i="15"/>
  <c r="E446" i="15"/>
  <c r="D446" i="15"/>
  <c r="C446" i="15"/>
  <c r="N445" i="15"/>
  <c r="M445" i="15"/>
  <c r="L445" i="15"/>
  <c r="K445" i="15"/>
  <c r="J445" i="15"/>
  <c r="I445" i="15"/>
  <c r="H445" i="15"/>
  <c r="G445" i="15"/>
  <c r="F445" i="15"/>
  <c r="E445" i="15"/>
  <c r="D445" i="15"/>
  <c r="C445" i="15"/>
  <c r="N444" i="15"/>
  <c r="M444" i="15"/>
  <c r="L444" i="15"/>
  <c r="K444" i="15"/>
  <c r="J444" i="15"/>
  <c r="I444" i="15"/>
  <c r="H444" i="15"/>
  <c r="G444" i="15"/>
  <c r="F444" i="15"/>
  <c r="E444" i="15"/>
  <c r="D444" i="15"/>
  <c r="C444" i="15"/>
  <c r="N443" i="15"/>
  <c r="M443" i="15"/>
  <c r="L443" i="15"/>
  <c r="K443" i="15"/>
  <c r="J443" i="15"/>
  <c r="I443" i="15"/>
  <c r="H443" i="15"/>
  <c r="G443" i="15"/>
  <c r="F443" i="15"/>
  <c r="E443" i="15"/>
  <c r="D443" i="15"/>
  <c r="C443" i="15"/>
  <c r="N442" i="15"/>
  <c r="M442" i="15"/>
  <c r="L442" i="15"/>
  <c r="K442" i="15"/>
  <c r="J442" i="15"/>
  <c r="I442" i="15"/>
  <c r="H442" i="15"/>
  <c r="G442" i="15"/>
  <c r="F442" i="15"/>
  <c r="E442" i="15"/>
  <c r="D442" i="15"/>
  <c r="C442" i="15"/>
  <c r="N441" i="15"/>
  <c r="M441" i="15"/>
  <c r="L441" i="15"/>
  <c r="K441" i="15"/>
  <c r="J441" i="15"/>
  <c r="I441" i="15"/>
  <c r="H441" i="15"/>
  <c r="G441" i="15"/>
  <c r="F441" i="15"/>
  <c r="E441" i="15"/>
  <c r="D441" i="15"/>
  <c r="C441" i="15"/>
  <c r="N440" i="15"/>
  <c r="M440" i="15"/>
  <c r="L440" i="15"/>
  <c r="K440" i="15"/>
  <c r="J440" i="15"/>
  <c r="I440" i="15"/>
  <c r="H440" i="15"/>
  <c r="G440" i="15"/>
  <c r="F440" i="15"/>
  <c r="E440" i="15"/>
  <c r="D440" i="15"/>
  <c r="C440" i="15"/>
  <c r="N439" i="15"/>
  <c r="M439" i="15"/>
  <c r="L439" i="15"/>
  <c r="K439" i="15"/>
  <c r="J439" i="15"/>
  <c r="I439" i="15"/>
  <c r="H439" i="15"/>
  <c r="G439" i="15"/>
  <c r="F439" i="15"/>
  <c r="E439" i="15"/>
  <c r="D439" i="15"/>
  <c r="C439" i="15"/>
  <c r="N438" i="15"/>
  <c r="M438" i="15"/>
  <c r="L438" i="15"/>
  <c r="K438" i="15"/>
  <c r="J438" i="15"/>
  <c r="I438" i="15"/>
  <c r="H438" i="15"/>
  <c r="G438" i="15"/>
  <c r="F438" i="15"/>
  <c r="E438" i="15"/>
  <c r="D438" i="15"/>
  <c r="C438" i="15"/>
  <c r="N437" i="15"/>
  <c r="M437" i="15"/>
  <c r="L437" i="15"/>
  <c r="K437" i="15"/>
  <c r="J437" i="15"/>
  <c r="I437" i="15"/>
  <c r="H437" i="15"/>
  <c r="G437" i="15"/>
  <c r="F437" i="15"/>
  <c r="E437" i="15"/>
  <c r="D437" i="15"/>
  <c r="C437" i="15"/>
  <c r="N436" i="15"/>
  <c r="M436" i="15"/>
  <c r="L436" i="15"/>
  <c r="K436" i="15"/>
  <c r="J436" i="15"/>
  <c r="I436" i="15"/>
  <c r="H436" i="15"/>
  <c r="G436" i="15"/>
  <c r="F436" i="15"/>
  <c r="E436" i="15"/>
  <c r="D436" i="15"/>
  <c r="C436" i="15"/>
  <c r="N435" i="15"/>
  <c r="M435" i="15"/>
  <c r="L435" i="15"/>
  <c r="K435" i="15"/>
  <c r="J435" i="15"/>
  <c r="I435" i="15"/>
  <c r="H435" i="15"/>
  <c r="G435" i="15"/>
  <c r="F435" i="15"/>
  <c r="E435" i="15"/>
  <c r="D435" i="15"/>
  <c r="C435" i="15"/>
  <c r="N434" i="15"/>
  <c r="M434" i="15"/>
  <c r="L434" i="15"/>
  <c r="K434" i="15"/>
  <c r="J434" i="15"/>
  <c r="I434" i="15"/>
  <c r="H434" i="15"/>
  <c r="G434" i="15"/>
  <c r="F434" i="15"/>
  <c r="E434" i="15"/>
  <c r="D434" i="15"/>
  <c r="C434" i="15"/>
  <c r="N433" i="15"/>
  <c r="M433" i="15"/>
  <c r="L433" i="15"/>
  <c r="K433" i="15"/>
  <c r="J433" i="15"/>
  <c r="I433" i="15"/>
  <c r="H433" i="15"/>
  <c r="G433" i="15"/>
  <c r="F433" i="15"/>
  <c r="E433" i="15"/>
  <c r="D433" i="15"/>
  <c r="C433" i="15"/>
  <c r="N432" i="15"/>
  <c r="M432" i="15"/>
  <c r="L432" i="15"/>
  <c r="K432" i="15"/>
  <c r="J432" i="15"/>
  <c r="I432" i="15"/>
  <c r="H432" i="15"/>
  <c r="G432" i="15"/>
  <c r="F432" i="15"/>
  <c r="E432" i="15"/>
  <c r="D432" i="15"/>
  <c r="C432" i="15"/>
  <c r="N431" i="15"/>
  <c r="M431" i="15"/>
  <c r="L431" i="15"/>
  <c r="K431" i="15"/>
  <c r="J431" i="15"/>
  <c r="I431" i="15"/>
  <c r="H431" i="15"/>
  <c r="G431" i="15"/>
  <c r="F431" i="15"/>
  <c r="E431" i="15"/>
  <c r="D431" i="15"/>
  <c r="C431" i="15"/>
  <c r="N430" i="15"/>
  <c r="M430" i="15"/>
  <c r="L430" i="15"/>
  <c r="K430" i="15"/>
  <c r="J430" i="15"/>
  <c r="I430" i="15"/>
  <c r="H430" i="15"/>
  <c r="G430" i="15"/>
  <c r="F430" i="15"/>
  <c r="E430" i="15"/>
  <c r="D430" i="15"/>
  <c r="C430" i="15"/>
  <c r="N429" i="15"/>
  <c r="M429" i="15"/>
  <c r="L429" i="15"/>
  <c r="K429" i="15"/>
  <c r="J429" i="15"/>
  <c r="I429" i="15"/>
  <c r="H429" i="15"/>
  <c r="G429" i="15"/>
  <c r="F429" i="15"/>
  <c r="E429" i="15"/>
  <c r="D429" i="15"/>
  <c r="C429" i="15"/>
  <c r="N428" i="15"/>
  <c r="M428" i="15"/>
  <c r="L428" i="15"/>
  <c r="K428" i="15"/>
  <c r="J428" i="15"/>
  <c r="I428" i="15"/>
  <c r="H428" i="15"/>
  <c r="G428" i="15"/>
  <c r="F428" i="15"/>
  <c r="E428" i="15"/>
  <c r="D428" i="15"/>
  <c r="C428" i="15"/>
  <c r="N427" i="15"/>
  <c r="M427" i="15"/>
  <c r="L427" i="15"/>
  <c r="K427" i="15"/>
  <c r="J427" i="15"/>
  <c r="I427" i="15"/>
  <c r="H427" i="15"/>
  <c r="G427" i="15"/>
  <c r="F427" i="15"/>
  <c r="E427" i="15"/>
  <c r="D427" i="15"/>
  <c r="C427" i="15"/>
  <c r="N426" i="15"/>
  <c r="M426" i="15"/>
  <c r="L426" i="15"/>
  <c r="K426" i="15"/>
  <c r="J426" i="15"/>
  <c r="I426" i="15"/>
  <c r="H426" i="15"/>
  <c r="G426" i="15"/>
  <c r="F426" i="15"/>
  <c r="E426" i="15"/>
  <c r="D426" i="15"/>
  <c r="C426" i="15"/>
  <c r="N425" i="15"/>
  <c r="M425" i="15"/>
  <c r="L425" i="15"/>
  <c r="K425" i="15"/>
  <c r="J425" i="15"/>
  <c r="I425" i="15"/>
  <c r="H425" i="15"/>
  <c r="G425" i="15"/>
  <c r="F425" i="15"/>
  <c r="E425" i="15"/>
  <c r="D425" i="15"/>
  <c r="C425" i="15"/>
  <c r="N424" i="15"/>
  <c r="M424" i="15"/>
  <c r="L424" i="15"/>
  <c r="K424" i="15"/>
  <c r="J424" i="15"/>
  <c r="I424" i="15"/>
  <c r="H424" i="15"/>
  <c r="G424" i="15"/>
  <c r="F424" i="15"/>
  <c r="E424" i="15"/>
  <c r="D424" i="15"/>
  <c r="C424" i="15"/>
  <c r="N423" i="15"/>
  <c r="M423" i="15"/>
  <c r="L423" i="15"/>
  <c r="K423" i="15"/>
  <c r="J423" i="15"/>
  <c r="I423" i="15"/>
  <c r="H423" i="15"/>
  <c r="G423" i="15"/>
  <c r="F423" i="15"/>
  <c r="E423" i="15"/>
  <c r="D423" i="15"/>
  <c r="C423" i="15"/>
  <c r="N422" i="15"/>
  <c r="M422" i="15"/>
  <c r="L422" i="15"/>
  <c r="K422" i="15"/>
  <c r="J422" i="15"/>
  <c r="I422" i="15"/>
  <c r="H422" i="15"/>
  <c r="G422" i="15"/>
  <c r="F422" i="15"/>
  <c r="E422" i="15"/>
  <c r="D422" i="15"/>
  <c r="C422" i="15"/>
  <c r="N421" i="15"/>
  <c r="M421" i="15"/>
  <c r="L421" i="15"/>
  <c r="K421" i="15"/>
  <c r="J421" i="15"/>
  <c r="I421" i="15"/>
  <c r="H421" i="15"/>
  <c r="G421" i="15"/>
  <c r="F421" i="15"/>
  <c r="E421" i="15"/>
  <c r="D421" i="15"/>
  <c r="C421" i="15"/>
  <c r="N420" i="15"/>
  <c r="M420" i="15"/>
  <c r="L420" i="15"/>
  <c r="K420" i="15"/>
  <c r="J420" i="15"/>
  <c r="I420" i="15"/>
  <c r="H420" i="15"/>
  <c r="G420" i="15"/>
  <c r="F420" i="15"/>
  <c r="E420" i="15"/>
  <c r="D420" i="15"/>
  <c r="C420" i="15"/>
  <c r="N419" i="15"/>
  <c r="M419" i="15"/>
  <c r="L419" i="15"/>
  <c r="K419" i="15"/>
  <c r="J419" i="15"/>
  <c r="I419" i="15"/>
  <c r="H419" i="15"/>
  <c r="G419" i="15"/>
  <c r="F419" i="15"/>
  <c r="E419" i="15"/>
  <c r="D419" i="15"/>
  <c r="C419" i="15"/>
  <c r="N418" i="15"/>
  <c r="M418" i="15"/>
  <c r="L418" i="15"/>
  <c r="K418" i="15"/>
  <c r="J418" i="15"/>
  <c r="I418" i="15"/>
  <c r="H418" i="15"/>
  <c r="G418" i="15"/>
  <c r="F418" i="15"/>
  <c r="E418" i="15"/>
  <c r="D418" i="15"/>
  <c r="C418" i="15"/>
  <c r="N417" i="15"/>
  <c r="M417" i="15"/>
  <c r="L417" i="15"/>
  <c r="K417" i="15"/>
  <c r="J417" i="15"/>
  <c r="I417" i="15"/>
  <c r="H417" i="15"/>
  <c r="G417" i="15"/>
  <c r="F417" i="15"/>
  <c r="E417" i="15"/>
  <c r="D417" i="15"/>
  <c r="C417" i="15"/>
  <c r="N416" i="15"/>
  <c r="M416" i="15"/>
  <c r="L416" i="15"/>
  <c r="K416" i="15"/>
  <c r="J416" i="15"/>
  <c r="I416" i="15"/>
  <c r="H416" i="15"/>
  <c r="G416" i="15"/>
  <c r="F416" i="15"/>
  <c r="E416" i="15"/>
  <c r="D416" i="15"/>
  <c r="C416" i="15"/>
  <c r="N415" i="15"/>
  <c r="M415" i="15"/>
  <c r="L415" i="15"/>
  <c r="K415" i="15"/>
  <c r="J415" i="15"/>
  <c r="I415" i="15"/>
  <c r="H415" i="15"/>
  <c r="G415" i="15"/>
  <c r="F415" i="15"/>
  <c r="E415" i="15"/>
  <c r="D415" i="15"/>
  <c r="C415" i="15"/>
  <c r="N414" i="15"/>
  <c r="M414" i="15"/>
  <c r="L414" i="15"/>
  <c r="K414" i="15"/>
  <c r="J414" i="15"/>
  <c r="I414" i="15"/>
  <c r="H414" i="15"/>
  <c r="G414" i="15"/>
  <c r="F414" i="15"/>
  <c r="E414" i="15"/>
  <c r="D414" i="15"/>
  <c r="C414" i="15"/>
  <c r="N413" i="15"/>
  <c r="M413" i="15"/>
  <c r="L413" i="15"/>
  <c r="K413" i="15"/>
  <c r="J413" i="15"/>
  <c r="I413" i="15"/>
  <c r="H413" i="15"/>
  <c r="G413" i="15"/>
  <c r="F413" i="15"/>
  <c r="E413" i="15"/>
  <c r="D413" i="15"/>
  <c r="C413" i="15"/>
  <c r="N412" i="15"/>
  <c r="M412" i="15"/>
  <c r="L412" i="15"/>
  <c r="K412" i="15"/>
  <c r="J412" i="15"/>
  <c r="I412" i="15"/>
  <c r="H412" i="15"/>
  <c r="G412" i="15"/>
  <c r="F412" i="15"/>
  <c r="E412" i="15"/>
  <c r="D412" i="15"/>
  <c r="C412" i="15"/>
  <c r="N411" i="15"/>
  <c r="M411" i="15"/>
  <c r="L411" i="15"/>
  <c r="K411" i="15"/>
  <c r="J411" i="15"/>
  <c r="I411" i="15"/>
  <c r="H411" i="15"/>
  <c r="G411" i="15"/>
  <c r="F411" i="15"/>
  <c r="E411" i="15"/>
  <c r="D411" i="15"/>
  <c r="C411" i="15"/>
  <c r="N410" i="15"/>
  <c r="M410" i="15"/>
  <c r="L410" i="15"/>
  <c r="K410" i="15"/>
  <c r="J410" i="15"/>
  <c r="I410" i="15"/>
  <c r="H410" i="15"/>
  <c r="G410" i="15"/>
  <c r="F410" i="15"/>
  <c r="E410" i="15"/>
  <c r="D410" i="15"/>
  <c r="C410" i="15"/>
  <c r="N409" i="15"/>
  <c r="M409" i="15"/>
  <c r="L409" i="15"/>
  <c r="K409" i="15"/>
  <c r="J409" i="15"/>
  <c r="I409" i="15"/>
  <c r="H409" i="15"/>
  <c r="G409" i="15"/>
  <c r="F409" i="15"/>
  <c r="E409" i="15"/>
  <c r="D409" i="15"/>
  <c r="C409" i="15"/>
  <c r="N408" i="15"/>
  <c r="M408" i="15"/>
  <c r="L408" i="15"/>
  <c r="K408" i="15"/>
  <c r="J408" i="15"/>
  <c r="I408" i="15"/>
  <c r="H408" i="15"/>
  <c r="G408" i="15"/>
  <c r="F408" i="15"/>
  <c r="E408" i="15"/>
  <c r="D408" i="15"/>
  <c r="C408" i="15"/>
  <c r="N407" i="15"/>
  <c r="M407" i="15"/>
  <c r="L407" i="15"/>
  <c r="K407" i="15"/>
  <c r="J407" i="15"/>
  <c r="I407" i="15"/>
  <c r="H407" i="15"/>
  <c r="G407" i="15"/>
  <c r="F407" i="15"/>
  <c r="E407" i="15"/>
  <c r="D407" i="15"/>
  <c r="C407" i="15"/>
  <c r="N406" i="15"/>
  <c r="M406" i="15"/>
  <c r="L406" i="15"/>
  <c r="K406" i="15"/>
  <c r="J406" i="15"/>
  <c r="I406" i="15"/>
  <c r="H406" i="15"/>
  <c r="G406" i="15"/>
  <c r="F406" i="15"/>
  <c r="E406" i="15"/>
  <c r="D406" i="15"/>
  <c r="C406" i="15"/>
  <c r="N405" i="15"/>
  <c r="M405" i="15"/>
  <c r="L405" i="15"/>
  <c r="K405" i="15"/>
  <c r="J405" i="15"/>
  <c r="I405" i="15"/>
  <c r="H405" i="15"/>
  <c r="G405" i="15"/>
  <c r="F405" i="15"/>
  <c r="E405" i="15"/>
  <c r="D405" i="15"/>
  <c r="C405" i="15"/>
  <c r="N404" i="15"/>
  <c r="M404" i="15"/>
  <c r="L404" i="15"/>
  <c r="K404" i="15"/>
  <c r="J404" i="15"/>
  <c r="I404" i="15"/>
  <c r="H404" i="15"/>
  <c r="G404" i="15"/>
  <c r="F404" i="15"/>
  <c r="E404" i="15"/>
  <c r="D404" i="15"/>
  <c r="C404" i="15"/>
  <c r="N403" i="15"/>
  <c r="M403" i="15"/>
  <c r="L403" i="15"/>
  <c r="K403" i="15"/>
  <c r="J403" i="15"/>
  <c r="I403" i="15"/>
  <c r="H403" i="15"/>
  <c r="G403" i="15"/>
  <c r="F403" i="15"/>
  <c r="E403" i="15"/>
  <c r="D403" i="15"/>
  <c r="C403" i="15"/>
  <c r="N402" i="15"/>
  <c r="M402" i="15"/>
  <c r="L402" i="15"/>
  <c r="K402" i="15"/>
  <c r="J402" i="15"/>
  <c r="I402" i="15"/>
  <c r="H402" i="15"/>
  <c r="G402" i="15"/>
  <c r="F402" i="15"/>
  <c r="E402" i="15"/>
  <c r="D402" i="15"/>
  <c r="C402" i="15"/>
  <c r="N401" i="15"/>
  <c r="M401" i="15"/>
  <c r="L401" i="15"/>
  <c r="K401" i="15"/>
  <c r="J401" i="15"/>
  <c r="I401" i="15"/>
  <c r="H401" i="15"/>
  <c r="G401" i="15"/>
  <c r="F401" i="15"/>
  <c r="E401" i="15"/>
  <c r="D401" i="15"/>
  <c r="C401" i="15"/>
  <c r="N400" i="15"/>
  <c r="M400" i="15"/>
  <c r="L400" i="15"/>
  <c r="K400" i="15"/>
  <c r="J400" i="15"/>
  <c r="I400" i="15"/>
  <c r="H400" i="15"/>
  <c r="G400" i="15"/>
  <c r="F400" i="15"/>
  <c r="E400" i="15"/>
  <c r="D400" i="15"/>
  <c r="C400" i="15"/>
  <c r="N399" i="15"/>
  <c r="M399" i="15"/>
  <c r="L399" i="15"/>
  <c r="K399" i="15"/>
  <c r="J399" i="15"/>
  <c r="I399" i="15"/>
  <c r="H399" i="15"/>
  <c r="G399" i="15"/>
  <c r="F399" i="15"/>
  <c r="E399" i="15"/>
  <c r="D399" i="15"/>
  <c r="C399" i="15"/>
  <c r="N398" i="15"/>
  <c r="M398" i="15"/>
  <c r="L398" i="15"/>
  <c r="K398" i="15"/>
  <c r="J398" i="15"/>
  <c r="I398" i="15"/>
  <c r="H398" i="15"/>
  <c r="G398" i="15"/>
  <c r="F398" i="15"/>
  <c r="E398" i="15"/>
  <c r="D398" i="15"/>
  <c r="C398" i="15"/>
  <c r="N397" i="15"/>
  <c r="M397" i="15"/>
  <c r="L397" i="15"/>
  <c r="K397" i="15"/>
  <c r="J397" i="15"/>
  <c r="I397" i="15"/>
  <c r="H397" i="15"/>
  <c r="G397" i="15"/>
  <c r="F397" i="15"/>
  <c r="E397" i="15"/>
  <c r="D397" i="15"/>
  <c r="C397" i="15"/>
  <c r="N396" i="15"/>
  <c r="M396" i="15"/>
  <c r="L396" i="15"/>
  <c r="K396" i="15"/>
  <c r="J396" i="15"/>
  <c r="I396" i="15"/>
  <c r="H396" i="15"/>
  <c r="G396" i="15"/>
  <c r="F396" i="15"/>
  <c r="E396" i="15"/>
  <c r="D396" i="15"/>
  <c r="C396" i="15"/>
  <c r="N395" i="15"/>
  <c r="M395" i="15"/>
  <c r="L395" i="15"/>
  <c r="K395" i="15"/>
  <c r="J395" i="15"/>
  <c r="I395" i="15"/>
  <c r="H395" i="15"/>
  <c r="G395" i="15"/>
  <c r="F395" i="15"/>
  <c r="E395" i="15"/>
  <c r="D395" i="15"/>
  <c r="C395" i="15"/>
  <c r="N394" i="15"/>
  <c r="M394" i="15"/>
  <c r="L394" i="15"/>
  <c r="K394" i="15"/>
  <c r="J394" i="15"/>
  <c r="I394" i="15"/>
  <c r="H394" i="15"/>
  <c r="G394" i="15"/>
  <c r="F394" i="15"/>
  <c r="E394" i="15"/>
  <c r="D394" i="15"/>
  <c r="C394" i="15"/>
  <c r="N393" i="15"/>
  <c r="M393" i="15"/>
  <c r="L393" i="15"/>
  <c r="K393" i="15"/>
  <c r="J393" i="15"/>
  <c r="I393" i="15"/>
  <c r="H393" i="15"/>
  <c r="G393" i="15"/>
  <c r="F393" i="15"/>
  <c r="E393" i="15"/>
  <c r="D393" i="15"/>
  <c r="C393" i="15"/>
  <c r="N392" i="15"/>
  <c r="M392" i="15"/>
  <c r="L392" i="15"/>
  <c r="K392" i="15"/>
  <c r="J392" i="15"/>
  <c r="I392" i="15"/>
  <c r="H392" i="15"/>
  <c r="G392" i="15"/>
  <c r="F392" i="15"/>
  <c r="E392" i="15"/>
  <c r="D392" i="15"/>
  <c r="C392" i="15"/>
  <c r="N391" i="15"/>
  <c r="M391" i="15"/>
  <c r="L391" i="15"/>
  <c r="K391" i="15"/>
  <c r="J391" i="15"/>
  <c r="I391" i="15"/>
  <c r="H391" i="15"/>
  <c r="G391" i="15"/>
  <c r="F391" i="15"/>
  <c r="E391" i="15"/>
  <c r="D391" i="15"/>
  <c r="C391" i="15"/>
  <c r="N390" i="15"/>
  <c r="M390" i="15"/>
  <c r="L390" i="15"/>
  <c r="K390" i="15"/>
  <c r="J390" i="15"/>
  <c r="I390" i="15"/>
  <c r="H390" i="15"/>
  <c r="G390" i="15"/>
  <c r="F390" i="15"/>
  <c r="E390" i="15"/>
  <c r="D390" i="15"/>
  <c r="C390" i="15"/>
  <c r="N389" i="15"/>
  <c r="M389" i="15"/>
  <c r="L389" i="15"/>
  <c r="K389" i="15"/>
  <c r="J389" i="15"/>
  <c r="I389" i="15"/>
  <c r="H389" i="15"/>
  <c r="G389" i="15"/>
  <c r="F389" i="15"/>
  <c r="E389" i="15"/>
  <c r="D389" i="15"/>
  <c r="C389" i="15"/>
  <c r="N388" i="15"/>
  <c r="M388" i="15"/>
  <c r="L388" i="15"/>
  <c r="K388" i="15"/>
  <c r="J388" i="15"/>
  <c r="I388" i="15"/>
  <c r="H388" i="15"/>
  <c r="G388" i="15"/>
  <c r="F388" i="15"/>
  <c r="E388" i="15"/>
  <c r="D388" i="15"/>
  <c r="C388" i="15"/>
  <c r="N387" i="15"/>
  <c r="M387" i="15"/>
  <c r="L387" i="15"/>
  <c r="K387" i="15"/>
  <c r="J387" i="15"/>
  <c r="I387" i="15"/>
  <c r="H387" i="15"/>
  <c r="G387" i="15"/>
  <c r="F387" i="15"/>
  <c r="E387" i="15"/>
  <c r="D387" i="15"/>
  <c r="C387" i="15"/>
  <c r="N386" i="15"/>
  <c r="M386" i="15"/>
  <c r="L386" i="15"/>
  <c r="K386" i="15"/>
  <c r="J386" i="15"/>
  <c r="I386" i="15"/>
  <c r="H386" i="15"/>
  <c r="G386" i="15"/>
  <c r="F386" i="15"/>
  <c r="E386" i="15"/>
  <c r="D386" i="15"/>
  <c r="C386" i="15"/>
  <c r="N385" i="15"/>
  <c r="M385" i="15"/>
  <c r="L385" i="15"/>
  <c r="K385" i="15"/>
  <c r="J385" i="15"/>
  <c r="I385" i="15"/>
  <c r="H385" i="15"/>
  <c r="G385" i="15"/>
  <c r="F385" i="15"/>
  <c r="E385" i="15"/>
  <c r="D385" i="15"/>
  <c r="C385" i="15"/>
  <c r="N384" i="15"/>
  <c r="M384" i="15"/>
  <c r="L384" i="15"/>
  <c r="K384" i="15"/>
  <c r="J384" i="15"/>
  <c r="I384" i="15"/>
  <c r="H384" i="15"/>
  <c r="G384" i="15"/>
  <c r="F384" i="15"/>
  <c r="E384" i="15"/>
  <c r="D384" i="15"/>
  <c r="C384" i="15"/>
  <c r="N383" i="15"/>
  <c r="M383" i="15"/>
  <c r="L383" i="15"/>
  <c r="K383" i="15"/>
  <c r="J383" i="15"/>
  <c r="I383" i="15"/>
  <c r="H383" i="15"/>
  <c r="G383" i="15"/>
  <c r="F383" i="15"/>
  <c r="E383" i="15"/>
  <c r="D383" i="15"/>
  <c r="C383" i="15"/>
  <c r="N382" i="15"/>
  <c r="M382" i="15"/>
  <c r="L382" i="15"/>
  <c r="K382" i="15"/>
  <c r="J382" i="15"/>
  <c r="I382" i="15"/>
  <c r="H382" i="15"/>
  <c r="G382" i="15"/>
  <c r="F382" i="15"/>
  <c r="E382" i="15"/>
  <c r="D382" i="15"/>
  <c r="C382" i="15"/>
  <c r="N381" i="15"/>
  <c r="M381" i="15"/>
  <c r="L381" i="15"/>
  <c r="K381" i="15"/>
  <c r="J381" i="15"/>
  <c r="I381" i="15"/>
  <c r="H381" i="15"/>
  <c r="G381" i="15"/>
  <c r="F381" i="15"/>
  <c r="E381" i="15"/>
  <c r="D381" i="15"/>
  <c r="C381" i="15"/>
  <c r="N380" i="15"/>
  <c r="M380" i="15"/>
  <c r="L380" i="15"/>
  <c r="K380" i="15"/>
  <c r="J380" i="15"/>
  <c r="I380" i="15"/>
  <c r="H380" i="15"/>
  <c r="G380" i="15"/>
  <c r="F380" i="15"/>
  <c r="E380" i="15"/>
  <c r="D380" i="15"/>
  <c r="C380" i="15"/>
  <c r="N379" i="15"/>
  <c r="M379" i="15"/>
  <c r="L379" i="15"/>
  <c r="K379" i="15"/>
  <c r="J379" i="15"/>
  <c r="I379" i="15"/>
  <c r="H379" i="15"/>
  <c r="G379" i="15"/>
  <c r="F379" i="15"/>
  <c r="E379" i="15"/>
  <c r="D379" i="15"/>
  <c r="C379" i="15"/>
  <c r="N378" i="15"/>
  <c r="M378" i="15"/>
  <c r="L378" i="15"/>
  <c r="K378" i="15"/>
  <c r="J378" i="15"/>
  <c r="I378" i="15"/>
  <c r="H378" i="15"/>
  <c r="G378" i="15"/>
  <c r="F378" i="15"/>
  <c r="E378" i="15"/>
  <c r="D378" i="15"/>
  <c r="C378" i="15"/>
  <c r="N377" i="15"/>
  <c r="M377" i="15"/>
  <c r="L377" i="15"/>
  <c r="K377" i="15"/>
  <c r="J377" i="15"/>
  <c r="I377" i="15"/>
  <c r="H377" i="15"/>
  <c r="G377" i="15"/>
  <c r="F377" i="15"/>
  <c r="E377" i="15"/>
  <c r="D377" i="15"/>
  <c r="C377" i="15"/>
  <c r="N376" i="15"/>
  <c r="M376" i="15"/>
  <c r="L376" i="15"/>
  <c r="K376" i="15"/>
  <c r="J376" i="15"/>
  <c r="I376" i="15"/>
  <c r="H376" i="15"/>
  <c r="G376" i="15"/>
  <c r="F376" i="15"/>
  <c r="E376" i="15"/>
  <c r="D376" i="15"/>
  <c r="C376" i="15"/>
  <c r="N375" i="15"/>
  <c r="M375" i="15"/>
  <c r="L375" i="15"/>
  <c r="K375" i="15"/>
  <c r="J375" i="15"/>
  <c r="I375" i="15"/>
  <c r="H375" i="15"/>
  <c r="G375" i="15"/>
  <c r="F375" i="15"/>
  <c r="E375" i="15"/>
  <c r="D375" i="15"/>
  <c r="C375" i="15"/>
  <c r="N374" i="15"/>
  <c r="M374" i="15"/>
  <c r="L374" i="15"/>
  <c r="K374" i="15"/>
  <c r="J374" i="15"/>
  <c r="I374" i="15"/>
  <c r="H374" i="15"/>
  <c r="G374" i="15"/>
  <c r="F374" i="15"/>
  <c r="E374" i="15"/>
  <c r="D374" i="15"/>
  <c r="C374" i="15"/>
  <c r="N373" i="15"/>
  <c r="M373" i="15"/>
  <c r="L373" i="15"/>
  <c r="K373" i="15"/>
  <c r="J373" i="15"/>
  <c r="I373" i="15"/>
  <c r="H373" i="15"/>
  <c r="G373" i="15"/>
  <c r="F373" i="15"/>
  <c r="E373" i="15"/>
  <c r="D373" i="15"/>
  <c r="C373" i="15"/>
  <c r="N372" i="15"/>
  <c r="M372" i="15"/>
  <c r="L372" i="15"/>
  <c r="K372" i="15"/>
  <c r="J372" i="15"/>
  <c r="I372" i="15"/>
  <c r="H372" i="15"/>
  <c r="G372" i="15"/>
  <c r="F372" i="15"/>
  <c r="E372" i="15"/>
  <c r="D372" i="15"/>
  <c r="C372" i="15"/>
  <c r="N371" i="15"/>
  <c r="M371" i="15"/>
  <c r="L371" i="15"/>
  <c r="K371" i="15"/>
  <c r="J371" i="15"/>
  <c r="I371" i="15"/>
  <c r="H371" i="15"/>
  <c r="G371" i="15"/>
  <c r="F371" i="15"/>
  <c r="E371" i="15"/>
  <c r="D371" i="15"/>
  <c r="C371" i="15"/>
  <c r="N370" i="15"/>
  <c r="M370" i="15"/>
  <c r="L370" i="15"/>
  <c r="K370" i="15"/>
  <c r="J370" i="15"/>
  <c r="I370" i="15"/>
  <c r="H370" i="15"/>
  <c r="G370" i="15"/>
  <c r="F370" i="15"/>
  <c r="E370" i="15"/>
  <c r="D370" i="15"/>
  <c r="C370" i="15"/>
  <c r="N369" i="15"/>
  <c r="M369" i="15"/>
  <c r="L369" i="15"/>
  <c r="K369" i="15"/>
  <c r="J369" i="15"/>
  <c r="I369" i="15"/>
  <c r="H369" i="15"/>
  <c r="G369" i="15"/>
  <c r="F369" i="15"/>
  <c r="E369" i="15"/>
  <c r="D369" i="15"/>
  <c r="C369" i="15"/>
  <c r="N368" i="15"/>
  <c r="M368" i="15"/>
  <c r="L368" i="15"/>
  <c r="K368" i="15"/>
  <c r="J368" i="15"/>
  <c r="I368" i="15"/>
  <c r="H368" i="15"/>
  <c r="G368" i="15"/>
  <c r="F368" i="15"/>
  <c r="E368" i="15"/>
  <c r="D368" i="15"/>
  <c r="C368" i="15"/>
  <c r="N367" i="15"/>
  <c r="M367" i="15"/>
  <c r="L367" i="15"/>
  <c r="K367" i="15"/>
  <c r="J367" i="15"/>
  <c r="I367" i="15"/>
  <c r="H367" i="15"/>
  <c r="G367" i="15"/>
  <c r="F367" i="15"/>
  <c r="E367" i="15"/>
  <c r="D367" i="15"/>
  <c r="C367" i="15"/>
  <c r="N366" i="15"/>
  <c r="M366" i="15"/>
  <c r="L366" i="15"/>
  <c r="K366" i="15"/>
  <c r="J366" i="15"/>
  <c r="I366" i="15"/>
  <c r="H366" i="15"/>
  <c r="G366" i="15"/>
  <c r="F366" i="15"/>
  <c r="E366" i="15"/>
  <c r="D366" i="15"/>
  <c r="C366" i="15"/>
  <c r="N365" i="15"/>
  <c r="M365" i="15"/>
  <c r="L365" i="15"/>
  <c r="K365" i="15"/>
  <c r="J365" i="15"/>
  <c r="I365" i="15"/>
  <c r="H365" i="15"/>
  <c r="G365" i="15"/>
  <c r="F365" i="15"/>
  <c r="E365" i="15"/>
  <c r="D365" i="15"/>
  <c r="C365" i="15"/>
  <c r="N364" i="15"/>
  <c r="M364" i="15"/>
  <c r="L364" i="15"/>
  <c r="K364" i="15"/>
  <c r="J364" i="15"/>
  <c r="I364" i="15"/>
  <c r="H364" i="15"/>
  <c r="G364" i="15"/>
  <c r="F364" i="15"/>
  <c r="E364" i="15"/>
  <c r="D364" i="15"/>
  <c r="C364" i="15"/>
  <c r="N363" i="15"/>
  <c r="M363" i="15"/>
  <c r="L363" i="15"/>
  <c r="K363" i="15"/>
  <c r="J363" i="15"/>
  <c r="I363" i="15"/>
  <c r="H363" i="15"/>
  <c r="G363" i="15"/>
  <c r="F363" i="15"/>
  <c r="E363" i="15"/>
  <c r="D363" i="15"/>
  <c r="C363" i="15"/>
  <c r="N362" i="15"/>
  <c r="M362" i="15"/>
  <c r="L362" i="15"/>
  <c r="K362" i="15"/>
  <c r="J362" i="15"/>
  <c r="I362" i="15"/>
  <c r="H362" i="15"/>
  <c r="G362" i="15"/>
  <c r="F362" i="15"/>
  <c r="E362" i="15"/>
  <c r="D362" i="15"/>
  <c r="C362" i="15"/>
  <c r="N361" i="15"/>
  <c r="M361" i="15"/>
  <c r="L361" i="15"/>
  <c r="K361" i="15"/>
  <c r="J361" i="15"/>
  <c r="I361" i="15"/>
  <c r="H361" i="15"/>
  <c r="G361" i="15"/>
  <c r="F361" i="15"/>
  <c r="E361" i="15"/>
  <c r="D361" i="15"/>
  <c r="C361" i="15"/>
  <c r="N360" i="15"/>
  <c r="M360" i="15"/>
  <c r="L360" i="15"/>
  <c r="K360" i="15"/>
  <c r="J360" i="15"/>
  <c r="I360" i="15"/>
  <c r="H360" i="15"/>
  <c r="G360" i="15"/>
  <c r="F360" i="15"/>
  <c r="E360" i="15"/>
  <c r="D360" i="15"/>
  <c r="C360" i="15"/>
  <c r="N359" i="15"/>
  <c r="M359" i="15"/>
  <c r="L359" i="15"/>
  <c r="K359" i="15"/>
  <c r="J359" i="15"/>
  <c r="I359" i="15"/>
  <c r="H359" i="15"/>
  <c r="G359" i="15"/>
  <c r="F359" i="15"/>
  <c r="E359" i="15"/>
  <c r="D359" i="15"/>
  <c r="C359" i="15"/>
  <c r="N358" i="15"/>
  <c r="M358" i="15"/>
  <c r="L358" i="15"/>
  <c r="K358" i="15"/>
  <c r="J358" i="15"/>
  <c r="I358" i="15"/>
  <c r="H358" i="15"/>
  <c r="G358" i="15"/>
  <c r="F358" i="15"/>
  <c r="E358" i="15"/>
  <c r="D358" i="15"/>
  <c r="C358" i="15"/>
  <c r="N357" i="15"/>
  <c r="M357" i="15"/>
  <c r="L357" i="15"/>
  <c r="K357" i="15"/>
  <c r="J357" i="15"/>
  <c r="I357" i="15"/>
  <c r="H357" i="15"/>
  <c r="G357" i="15"/>
  <c r="F357" i="15"/>
  <c r="E357" i="15"/>
  <c r="D357" i="15"/>
  <c r="C357" i="15"/>
  <c r="N356" i="15"/>
  <c r="M356" i="15"/>
  <c r="L356" i="15"/>
  <c r="K356" i="15"/>
  <c r="J356" i="15"/>
  <c r="I356" i="15"/>
  <c r="H356" i="15"/>
  <c r="G356" i="15"/>
  <c r="F356" i="15"/>
  <c r="E356" i="15"/>
  <c r="D356" i="15"/>
  <c r="C356" i="15"/>
  <c r="N355" i="15"/>
  <c r="M355" i="15"/>
  <c r="L355" i="15"/>
  <c r="K355" i="15"/>
  <c r="J355" i="15"/>
  <c r="I355" i="15"/>
  <c r="H355" i="15"/>
  <c r="G355" i="15"/>
  <c r="F355" i="15"/>
  <c r="E355" i="15"/>
  <c r="D355" i="15"/>
  <c r="C355" i="15"/>
  <c r="N354" i="15"/>
  <c r="M354" i="15"/>
  <c r="L354" i="15"/>
  <c r="K354" i="15"/>
  <c r="J354" i="15"/>
  <c r="I354" i="15"/>
  <c r="H354" i="15"/>
  <c r="G354" i="15"/>
  <c r="F354" i="15"/>
  <c r="E354" i="15"/>
  <c r="D354" i="15"/>
  <c r="C354" i="15"/>
  <c r="N353" i="15"/>
  <c r="M353" i="15"/>
  <c r="L353" i="15"/>
  <c r="K353" i="15"/>
  <c r="J353" i="15"/>
  <c r="I353" i="15"/>
  <c r="H353" i="15"/>
  <c r="G353" i="15"/>
  <c r="F353" i="15"/>
  <c r="E353" i="15"/>
  <c r="D353" i="15"/>
  <c r="C353" i="15"/>
  <c r="N352" i="15"/>
  <c r="M352" i="15"/>
  <c r="L352" i="15"/>
  <c r="K352" i="15"/>
  <c r="J352" i="15"/>
  <c r="I352" i="15"/>
  <c r="H352" i="15"/>
  <c r="G352" i="15"/>
  <c r="F352" i="15"/>
  <c r="E352" i="15"/>
  <c r="D352" i="15"/>
  <c r="C352" i="15"/>
  <c r="N351" i="15"/>
  <c r="M351" i="15"/>
  <c r="L351" i="15"/>
  <c r="K351" i="15"/>
  <c r="J351" i="15"/>
  <c r="I351" i="15"/>
  <c r="H351" i="15"/>
  <c r="G351" i="15"/>
  <c r="F351" i="15"/>
  <c r="E351" i="15"/>
  <c r="D351" i="15"/>
  <c r="C351" i="15"/>
  <c r="N350" i="15"/>
  <c r="M350" i="15"/>
  <c r="L350" i="15"/>
  <c r="K350" i="15"/>
  <c r="J350" i="15"/>
  <c r="I350" i="15"/>
  <c r="H350" i="15"/>
  <c r="G350" i="15"/>
  <c r="F350" i="15"/>
  <c r="E350" i="15"/>
  <c r="D350" i="15"/>
  <c r="C350" i="15"/>
  <c r="N349" i="15"/>
  <c r="M349" i="15"/>
  <c r="L349" i="15"/>
  <c r="K349" i="15"/>
  <c r="J349" i="15"/>
  <c r="I349" i="15"/>
  <c r="H349" i="15"/>
  <c r="G349" i="15"/>
  <c r="F349" i="15"/>
  <c r="E349" i="15"/>
  <c r="D349" i="15"/>
  <c r="C349" i="15"/>
  <c r="N348" i="15"/>
  <c r="M348" i="15"/>
  <c r="L348" i="15"/>
  <c r="K348" i="15"/>
  <c r="J348" i="15"/>
  <c r="I348" i="15"/>
  <c r="H348" i="15"/>
  <c r="G348" i="15"/>
  <c r="F348" i="15"/>
  <c r="E348" i="15"/>
  <c r="D348" i="15"/>
  <c r="C348" i="15"/>
  <c r="N347" i="15"/>
  <c r="M347" i="15"/>
  <c r="L347" i="15"/>
  <c r="K347" i="15"/>
  <c r="J347" i="15"/>
  <c r="I347" i="15"/>
  <c r="H347" i="15"/>
  <c r="G347" i="15"/>
  <c r="F347" i="15"/>
  <c r="E347" i="15"/>
  <c r="D347" i="15"/>
  <c r="C347" i="15"/>
  <c r="N346" i="15"/>
  <c r="M346" i="15"/>
  <c r="L346" i="15"/>
  <c r="K346" i="15"/>
  <c r="J346" i="15"/>
  <c r="I346" i="15"/>
  <c r="H346" i="15"/>
  <c r="G346" i="15"/>
  <c r="F346" i="15"/>
  <c r="E346" i="15"/>
  <c r="D346" i="15"/>
  <c r="C346" i="15"/>
  <c r="N345" i="15"/>
  <c r="M345" i="15"/>
  <c r="L345" i="15"/>
  <c r="K345" i="15"/>
  <c r="J345" i="15"/>
  <c r="I345" i="15"/>
  <c r="H345" i="15"/>
  <c r="G345" i="15"/>
  <c r="F345" i="15"/>
  <c r="E345" i="15"/>
  <c r="D345" i="15"/>
  <c r="C345" i="15"/>
  <c r="N344" i="15"/>
  <c r="M344" i="15"/>
  <c r="L344" i="15"/>
  <c r="K344" i="15"/>
  <c r="J344" i="15"/>
  <c r="I344" i="15"/>
  <c r="H344" i="15"/>
  <c r="G344" i="15"/>
  <c r="F344" i="15"/>
  <c r="E344" i="15"/>
  <c r="D344" i="15"/>
  <c r="C344" i="15"/>
  <c r="N343" i="15"/>
  <c r="M343" i="15"/>
  <c r="L343" i="15"/>
  <c r="K343" i="15"/>
  <c r="J343" i="15"/>
  <c r="I343" i="15"/>
  <c r="H343" i="15"/>
  <c r="G343" i="15"/>
  <c r="F343" i="15"/>
  <c r="E343" i="15"/>
  <c r="D343" i="15"/>
  <c r="C343" i="15"/>
  <c r="N342" i="15"/>
  <c r="M342" i="15"/>
  <c r="L342" i="15"/>
  <c r="K342" i="15"/>
  <c r="J342" i="15"/>
  <c r="I342" i="15"/>
  <c r="H342" i="15"/>
  <c r="G342" i="15"/>
  <c r="F342" i="15"/>
  <c r="E342" i="15"/>
  <c r="D342" i="15"/>
  <c r="C342" i="15"/>
  <c r="N341" i="15"/>
  <c r="M341" i="15"/>
  <c r="L341" i="15"/>
  <c r="K341" i="15"/>
  <c r="J341" i="15"/>
  <c r="I341" i="15"/>
  <c r="H341" i="15"/>
  <c r="G341" i="15"/>
  <c r="F341" i="15"/>
  <c r="E341" i="15"/>
  <c r="D341" i="15"/>
  <c r="C341" i="15"/>
  <c r="N340" i="15"/>
  <c r="M340" i="15"/>
  <c r="L340" i="15"/>
  <c r="K340" i="15"/>
  <c r="J340" i="15"/>
  <c r="I340" i="15"/>
  <c r="H340" i="15"/>
  <c r="G340" i="15"/>
  <c r="F340" i="15"/>
  <c r="E340" i="15"/>
  <c r="D340" i="15"/>
  <c r="C340" i="15"/>
  <c r="N339" i="15"/>
  <c r="M339" i="15"/>
  <c r="L339" i="15"/>
  <c r="K339" i="15"/>
  <c r="J339" i="15"/>
  <c r="I339" i="15"/>
  <c r="H339" i="15"/>
  <c r="G339" i="15"/>
  <c r="F339" i="15"/>
  <c r="E339" i="15"/>
  <c r="D339" i="15"/>
  <c r="C339" i="15"/>
  <c r="N338" i="15"/>
  <c r="M338" i="15"/>
  <c r="L338" i="15"/>
  <c r="K338" i="15"/>
  <c r="J338" i="15"/>
  <c r="I338" i="15"/>
  <c r="H338" i="15"/>
  <c r="G338" i="15"/>
  <c r="F338" i="15"/>
  <c r="E338" i="15"/>
  <c r="D338" i="15"/>
  <c r="C338" i="15"/>
  <c r="N337" i="15"/>
  <c r="M337" i="15"/>
  <c r="L337" i="15"/>
  <c r="K337" i="15"/>
  <c r="J337" i="15"/>
  <c r="I337" i="15"/>
  <c r="H337" i="15"/>
  <c r="G337" i="15"/>
  <c r="F337" i="15"/>
  <c r="E337" i="15"/>
  <c r="D337" i="15"/>
  <c r="C337" i="15"/>
  <c r="N336" i="15"/>
  <c r="M336" i="15"/>
  <c r="L336" i="15"/>
  <c r="K336" i="15"/>
  <c r="J336" i="15"/>
  <c r="I336" i="15"/>
  <c r="H336" i="15"/>
  <c r="G336" i="15"/>
  <c r="F336" i="15"/>
  <c r="E336" i="15"/>
  <c r="D336" i="15"/>
  <c r="C336" i="15"/>
  <c r="N335" i="15"/>
  <c r="M335" i="15"/>
  <c r="L335" i="15"/>
  <c r="K335" i="15"/>
  <c r="J335" i="15"/>
  <c r="I335" i="15"/>
  <c r="H335" i="15"/>
  <c r="G335" i="15"/>
  <c r="F335" i="15"/>
  <c r="E335" i="15"/>
  <c r="D335" i="15"/>
  <c r="C335" i="15"/>
  <c r="N334" i="15"/>
  <c r="M334" i="15"/>
  <c r="L334" i="15"/>
  <c r="K334" i="15"/>
  <c r="J334" i="15"/>
  <c r="I334" i="15"/>
  <c r="H334" i="15"/>
  <c r="G334" i="15"/>
  <c r="F334" i="15"/>
  <c r="E334" i="15"/>
  <c r="D334" i="15"/>
  <c r="C334" i="15"/>
  <c r="N333" i="15"/>
  <c r="M333" i="15"/>
  <c r="L333" i="15"/>
  <c r="K333" i="15"/>
  <c r="J333" i="15"/>
  <c r="I333" i="15"/>
  <c r="H333" i="15"/>
  <c r="G333" i="15"/>
  <c r="F333" i="15"/>
  <c r="E333" i="15"/>
  <c r="D333" i="15"/>
  <c r="C333" i="15"/>
  <c r="N332" i="15"/>
  <c r="M332" i="15"/>
  <c r="L332" i="15"/>
  <c r="K332" i="15"/>
  <c r="J332" i="15"/>
  <c r="I332" i="15"/>
  <c r="H332" i="15"/>
  <c r="G332" i="15"/>
  <c r="F332" i="15"/>
  <c r="E332" i="15"/>
  <c r="D332" i="15"/>
  <c r="C332" i="15"/>
  <c r="N331" i="15"/>
  <c r="M331" i="15"/>
  <c r="L331" i="15"/>
  <c r="K331" i="15"/>
  <c r="J331" i="15"/>
  <c r="I331" i="15"/>
  <c r="H331" i="15"/>
  <c r="G331" i="15"/>
  <c r="F331" i="15"/>
  <c r="E331" i="15"/>
  <c r="D331" i="15"/>
  <c r="C331" i="15"/>
  <c r="N330" i="15"/>
  <c r="M330" i="15"/>
  <c r="L330" i="15"/>
  <c r="K330" i="15"/>
  <c r="J330" i="15"/>
  <c r="I330" i="15"/>
  <c r="H330" i="15"/>
  <c r="G330" i="15"/>
  <c r="F330" i="15"/>
  <c r="E330" i="15"/>
  <c r="D330" i="15"/>
  <c r="C330" i="15"/>
  <c r="N329" i="15"/>
  <c r="M329" i="15"/>
  <c r="L329" i="15"/>
  <c r="K329" i="15"/>
  <c r="J329" i="15"/>
  <c r="I329" i="15"/>
  <c r="H329" i="15"/>
  <c r="G329" i="15"/>
  <c r="F329" i="15"/>
  <c r="E329" i="15"/>
  <c r="D329" i="15"/>
  <c r="C329" i="15"/>
  <c r="N328" i="15"/>
  <c r="M328" i="15"/>
  <c r="L328" i="15"/>
  <c r="K328" i="15"/>
  <c r="J328" i="15"/>
  <c r="I328" i="15"/>
  <c r="H328" i="15"/>
  <c r="G328" i="15"/>
  <c r="F328" i="15"/>
  <c r="E328" i="15"/>
  <c r="D328" i="15"/>
  <c r="C328" i="15"/>
  <c r="N327" i="15"/>
  <c r="M327" i="15"/>
  <c r="L327" i="15"/>
  <c r="K327" i="15"/>
  <c r="J327" i="15"/>
  <c r="I327" i="15"/>
  <c r="H327" i="15"/>
  <c r="G327" i="15"/>
  <c r="F327" i="15"/>
  <c r="E327" i="15"/>
  <c r="D327" i="15"/>
  <c r="C327" i="15"/>
  <c r="N326" i="15"/>
  <c r="M326" i="15"/>
  <c r="L326" i="15"/>
  <c r="K326" i="15"/>
  <c r="J326" i="15"/>
  <c r="I326" i="15"/>
  <c r="H326" i="15"/>
  <c r="G326" i="15"/>
  <c r="F326" i="15"/>
  <c r="E326" i="15"/>
  <c r="D326" i="15"/>
  <c r="C326" i="15"/>
  <c r="N325" i="15"/>
  <c r="M325" i="15"/>
  <c r="L325" i="15"/>
  <c r="K325" i="15"/>
  <c r="J325" i="15"/>
  <c r="I325" i="15"/>
  <c r="H325" i="15"/>
  <c r="G325" i="15"/>
  <c r="F325" i="15"/>
  <c r="E325" i="15"/>
  <c r="D325" i="15"/>
  <c r="C325" i="15"/>
  <c r="N324" i="15"/>
  <c r="M324" i="15"/>
  <c r="L324" i="15"/>
  <c r="K324" i="15"/>
  <c r="J324" i="15"/>
  <c r="I324" i="15"/>
  <c r="H324" i="15"/>
  <c r="G324" i="15"/>
  <c r="F324" i="15"/>
  <c r="E324" i="15"/>
  <c r="D324" i="15"/>
  <c r="C324" i="15"/>
  <c r="N323" i="15"/>
  <c r="M323" i="15"/>
  <c r="L323" i="15"/>
  <c r="K323" i="15"/>
  <c r="J323" i="15"/>
  <c r="I323" i="15"/>
  <c r="H323" i="15"/>
  <c r="G323" i="15"/>
  <c r="F323" i="15"/>
  <c r="E323" i="15"/>
  <c r="D323" i="15"/>
  <c r="C323" i="15"/>
  <c r="N322" i="15"/>
  <c r="M322" i="15"/>
  <c r="L322" i="15"/>
  <c r="K322" i="15"/>
  <c r="J322" i="15"/>
  <c r="I322" i="15"/>
  <c r="H322" i="15"/>
  <c r="G322" i="15"/>
  <c r="F322" i="15"/>
  <c r="E322" i="15"/>
  <c r="D322" i="15"/>
  <c r="C322" i="15"/>
  <c r="N321" i="15"/>
  <c r="M321" i="15"/>
  <c r="L321" i="15"/>
  <c r="K321" i="15"/>
  <c r="J321" i="15"/>
  <c r="I321" i="15"/>
  <c r="H321" i="15"/>
  <c r="G321" i="15"/>
  <c r="F321" i="15"/>
  <c r="E321" i="15"/>
  <c r="D321" i="15"/>
  <c r="C321" i="15"/>
  <c r="N320" i="15"/>
  <c r="M320" i="15"/>
  <c r="L320" i="15"/>
  <c r="K320" i="15"/>
  <c r="J320" i="15"/>
  <c r="I320" i="15"/>
  <c r="H320" i="15"/>
  <c r="G320" i="15"/>
  <c r="F320" i="15"/>
  <c r="E320" i="15"/>
  <c r="D320" i="15"/>
  <c r="C320" i="15"/>
  <c r="N319" i="15"/>
  <c r="M319" i="15"/>
  <c r="L319" i="15"/>
  <c r="K319" i="15"/>
  <c r="J319" i="15"/>
  <c r="I319" i="15"/>
  <c r="H319" i="15"/>
  <c r="G319" i="15"/>
  <c r="F319" i="15"/>
  <c r="E319" i="15"/>
  <c r="D319" i="15"/>
  <c r="C319" i="15"/>
  <c r="N318" i="15"/>
  <c r="M318" i="15"/>
  <c r="L318" i="15"/>
  <c r="K318" i="15"/>
  <c r="J318" i="15"/>
  <c r="I318" i="15"/>
  <c r="H318" i="15"/>
  <c r="G318" i="15"/>
  <c r="F318" i="15"/>
  <c r="E318" i="15"/>
  <c r="D318" i="15"/>
  <c r="C318" i="15"/>
  <c r="N317" i="15"/>
  <c r="M317" i="15"/>
  <c r="L317" i="15"/>
  <c r="K317" i="15"/>
  <c r="J317" i="15"/>
  <c r="I317" i="15"/>
  <c r="H317" i="15"/>
  <c r="G317" i="15"/>
  <c r="F317" i="15"/>
  <c r="E317" i="15"/>
  <c r="D317" i="15"/>
  <c r="C317" i="15"/>
  <c r="N316" i="15"/>
  <c r="M316" i="15"/>
  <c r="L316" i="15"/>
  <c r="K316" i="15"/>
  <c r="J316" i="15"/>
  <c r="I316" i="15"/>
  <c r="H316" i="15"/>
  <c r="G316" i="15"/>
  <c r="F316" i="15"/>
  <c r="E316" i="15"/>
  <c r="D316" i="15"/>
  <c r="C316" i="15"/>
  <c r="N315" i="15"/>
  <c r="M315" i="15"/>
  <c r="L315" i="15"/>
  <c r="K315" i="15"/>
  <c r="J315" i="15"/>
  <c r="I315" i="15"/>
  <c r="H315" i="15"/>
  <c r="G315" i="15"/>
  <c r="F315" i="15"/>
  <c r="E315" i="15"/>
  <c r="D315" i="15"/>
  <c r="C315" i="15"/>
  <c r="N314" i="15"/>
  <c r="M314" i="15"/>
  <c r="L314" i="15"/>
  <c r="K314" i="15"/>
  <c r="J314" i="15"/>
  <c r="I314" i="15"/>
  <c r="H314" i="15"/>
  <c r="G314" i="15"/>
  <c r="F314" i="15"/>
  <c r="E314" i="15"/>
  <c r="D314" i="15"/>
  <c r="C314" i="15"/>
  <c r="N313" i="15"/>
  <c r="M313" i="15"/>
  <c r="L313" i="15"/>
  <c r="K313" i="15"/>
  <c r="J313" i="15"/>
  <c r="I313" i="15"/>
  <c r="H313" i="15"/>
  <c r="G313" i="15"/>
  <c r="F313" i="15"/>
  <c r="E313" i="15"/>
  <c r="D313" i="15"/>
  <c r="C313" i="15"/>
  <c r="N312" i="15"/>
  <c r="M312" i="15"/>
  <c r="L312" i="15"/>
  <c r="K312" i="15"/>
  <c r="J312" i="15"/>
  <c r="I312" i="15"/>
  <c r="H312" i="15"/>
  <c r="G312" i="15"/>
  <c r="F312" i="15"/>
  <c r="E312" i="15"/>
  <c r="D312" i="15"/>
  <c r="C312" i="15"/>
  <c r="N311" i="15"/>
  <c r="M311" i="15"/>
  <c r="L311" i="15"/>
  <c r="K311" i="15"/>
  <c r="J311" i="15"/>
  <c r="I311" i="15"/>
  <c r="H311" i="15"/>
  <c r="G311" i="15"/>
  <c r="F311" i="15"/>
  <c r="E311" i="15"/>
  <c r="D311" i="15"/>
  <c r="C311" i="15"/>
  <c r="N310" i="15"/>
  <c r="M310" i="15"/>
  <c r="L310" i="15"/>
  <c r="K310" i="15"/>
  <c r="J310" i="15"/>
  <c r="I310" i="15"/>
  <c r="H310" i="15"/>
  <c r="G310" i="15"/>
  <c r="F310" i="15"/>
  <c r="E310" i="15"/>
  <c r="D310" i="15"/>
  <c r="C310" i="15"/>
  <c r="N309" i="15"/>
  <c r="M309" i="15"/>
  <c r="L309" i="15"/>
  <c r="K309" i="15"/>
  <c r="J309" i="15"/>
  <c r="I309" i="15"/>
  <c r="H309" i="15"/>
  <c r="G309" i="15"/>
  <c r="F309" i="15"/>
  <c r="E309" i="15"/>
  <c r="D309" i="15"/>
  <c r="C309" i="15"/>
  <c r="N308" i="15"/>
  <c r="M308" i="15"/>
  <c r="L308" i="15"/>
  <c r="K308" i="15"/>
  <c r="J308" i="15"/>
  <c r="I308" i="15"/>
  <c r="H308" i="15"/>
  <c r="G308" i="15"/>
  <c r="F308" i="15"/>
  <c r="E308" i="15"/>
  <c r="D308" i="15"/>
  <c r="C308" i="15"/>
  <c r="N307" i="15"/>
  <c r="M307" i="15"/>
  <c r="L307" i="15"/>
  <c r="K307" i="15"/>
  <c r="J307" i="15"/>
  <c r="I307" i="15"/>
  <c r="H307" i="15"/>
  <c r="G307" i="15"/>
  <c r="F307" i="15"/>
  <c r="E307" i="15"/>
  <c r="D307" i="15"/>
  <c r="C307" i="15"/>
  <c r="N306" i="15"/>
  <c r="M306" i="15"/>
  <c r="L306" i="15"/>
  <c r="K306" i="15"/>
  <c r="J306" i="15"/>
  <c r="I306" i="15"/>
  <c r="H306" i="15"/>
  <c r="G306" i="15"/>
  <c r="F306" i="15"/>
  <c r="E306" i="15"/>
  <c r="D306" i="15"/>
  <c r="C306" i="15"/>
  <c r="N305" i="15"/>
  <c r="M305" i="15"/>
  <c r="L305" i="15"/>
  <c r="K305" i="15"/>
  <c r="J305" i="15"/>
  <c r="I305" i="15"/>
  <c r="H305" i="15"/>
  <c r="G305" i="15"/>
  <c r="F305" i="15"/>
  <c r="E305" i="15"/>
  <c r="D305" i="15"/>
  <c r="C305" i="15"/>
  <c r="N304" i="15"/>
  <c r="M304" i="15"/>
  <c r="L304" i="15"/>
  <c r="K304" i="15"/>
  <c r="J304" i="15"/>
  <c r="I304" i="15"/>
  <c r="H304" i="15"/>
  <c r="G304" i="15"/>
  <c r="F304" i="15"/>
  <c r="E304" i="15"/>
  <c r="D304" i="15"/>
  <c r="C304" i="15"/>
  <c r="N303" i="15"/>
  <c r="M303" i="15"/>
  <c r="L303" i="15"/>
  <c r="K303" i="15"/>
  <c r="J303" i="15"/>
  <c r="I303" i="15"/>
  <c r="H303" i="15"/>
  <c r="G303" i="15"/>
  <c r="F303" i="15"/>
  <c r="E303" i="15"/>
  <c r="D303" i="15"/>
  <c r="C303" i="15"/>
  <c r="N302" i="15"/>
  <c r="M302" i="15"/>
  <c r="L302" i="15"/>
  <c r="K302" i="15"/>
  <c r="J302" i="15"/>
  <c r="I302" i="15"/>
  <c r="H302" i="15"/>
  <c r="G302" i="15"/>
  <c r="F302" i="15"/>
  <c r="E302" i="15"/>
  <c r="D302" i="15"/>
  <c r="C302" i="15"/>
  <c r="N301" i="15"/>
  <c r="M301" i="15"/>
  <c r="L301" i="15"/>
  <c r="K301" i="15"/>
  <c r="J301" i="15"/>
  <c r="I301" i="15"/>
  <c r="H301" i="15"/>
  <c r="G301" i="15"/>
  <c r="F301" i="15"/>
  <c r="E301" i="15"/>
  <c r="D301" i="15"/>
  <c r="C301" i="15"/>
  <c r="N300" i="15"/>
  <c r="M300" i="15"/>
  <c r="L300" i="15"/>
  <c r="K300" i="15"/>
  <c r="J300" i="15"/>
  <c r="I300" i="15"/>
  <c r="H300" i="15"/>
  <c r="G300" i="15"/>
  <c r="F300" i="15"/>
  <c r="E300" i="15"/>
  <c r="D300" i="15"/>
  <c r="C300" i="15"/>
  <c r="N299" i="15"/>
  <c r="M299" i="15"/>
  <c r="L299" i="15"/>
  <c r="K299" i="15"/>
  <c r="J299" i="15"/>
  <c r="I299" i="15"/>
  <c r="H299" i="15"/>
  <c r="G299" i="15"/>
  <c r="F299" i="15"/>
  <c r="E299" i="15"/>
  <c r="D299" i="15"/>
  <c r="C299" i="15"/>
  <c r="N298" i="15"/>
  <c r="M298" i="15"/>
  <c r="L298" i="15"/>
  <c r="K298" i="15"/>
  <c r="J298" i="15"/>
  <c r="I298" i="15"/>
  <c r="H298" i="15"/>
  <c r="G298" i="15"/>
  <c r="F298" i="15"/>
  <c r="E298" i="15"/>
  <c r="D298" i="15"/>
  <c r="C298" i="15"/>
  <c r="N297" i="15"/>
  <c r="M297" i="15"/>
  <c r="L297" i="15"/>
  <c r="K297" i="15"/>
  <c r="J297" i="15"/>
  <c r="I297" i="15"/>
  <c r="H297" i="15"/>
  <c r="G297" i="15"/>
  <c r="F297" i="15"/>
  <c r="E297" i="15"/>
  <c r="D297" i="15"/>
  <c r="C297" i="15"/>
  <c r="N296" i="15"/>
  <c r="M296" i="15"/>
  <c r="L296" i="15"/>
  <c r="K296" i="15"/>
  <c r="J296" i="15"/>
  <c r="I296" i="15"/>
  <c r="H296" i="15"/>
  <c r="G296" i="15"/>
  <c r="F296" i="15"/>
  <c r="E296" i="15"/>
  <c r="D296" i="15"/>
  <c r="C296" i="15"/>
  <c r="N295" i="15"/>
  <c r="M295" i="15"/>
  <c r="L295" i="15"/>
  <c r="K295" i="15"/>
  <c r="J295" i="15"/>
  <c r="I295" i="15"/>
  <c r="H295" i="15"/>
  <c r="G295" i="15"/>
  <c r="F295" i="15"/>
  <c r="E295" i="15"/>
  <c r="D295" i="15"/>
  <c r="C295" i="15"/>
  <c r="N294" i="15"/>
  <c r="M294" i="15"/>
  <c r="L294" i="15"/>
  <c r="K294" i="15"/>
  <c r="J294" i="15"/>
  <c r="I294" i="15"/>
  <c r="H294" i="15"/>
  <c r="G294" i="15"/>
  <c r="F294" i="15"/>
  <c r="E294" i="15"/>
  <c r="D294" i="15"/>
  <c r="C294" i="15"/>
  <c r="N293" i="15"/>
  <c r="M293" i="15"/>
  <c r="L293" i="15"/>
  <c r="K293" i="15"/>
  <c r="J293" i="15"/>
  <c r="I293" i="15"/>
  <c r="H293" i="15"/>
  <c r="G293" i="15"/>
  <c r="F293" i="15"/>
  <c r="E293" i="15"/>
  <c r="D293" i="15"/>
  <c r="C293" i="15"/>
  <c r="N292" i="15"/>
  <c r="M292" i="15"/>
  <c r="L292" i="15"/>
  <c r="K292" i="15"/>
  <c r="J292" i="15"/>
  <c r="I292" i="15"/>
  <c r="H292" i="15"/>
  <c r="G292" i="15"/>
  <c r="F292" i="15"/>
  <c r="E292" i="15"/>
  <c r="D292" i="15"/>
  <c r="C292" i="15"/>
  <c r="N291" i="15"/>
  <c r="M291" i="15"/>
  <c r="L291" i="15"/>
  <c r="K291" i="15"/>
  <c r="J291" i="15"/>
  <c r="I291" i="15"/>
  <c r="H291" i="15"/>
  <c r="G291" i="15"/>
  <c r="F291" i="15"/>
  <c r="E291" i="15"/>
  <c r="D291" i="15"/>
  <c r="C291" i="15"/>
  <c r="N290" i="15"/>
  <c r="M290" i="15"/>
  <c r="L290" i="15"/>
  <c r="K290" i="15"/>
  <c r="J290" i="15"/>
  <c r="I290" i="15"/>
  <c r="H290" i="15"/>
  <c r="G290" i="15"/>
  <c r="F290" i="15"/>
  <c r="E290" i="15"/>
  <c r="D290" i="15"/>
  <c r="C290" i="15"/>
  <c r="N289" i="15"/>
  <c r="M289" i="15"/>
  <c r="L289" i="15"/>
  <c r="K289" i="15"/>
  <c r="J289" i="15"/>
  <c r="I289" i="15"/>
  <c r="H289" i="15"/>
  <c r="G289" i="15"/>
  <c r="F289" i="15"/>
  <c r="E289" i="15"/>
  <c r="D289" i="15"/>
  <c r="C289" i="15"/>
  <c r="N288" i="15"/>
  <c r="M288" i="15"/>
  <c r="L288" i="15"/>
  <c r="K288" i="15"/>
  <c r="J288" i="15"/>
  <c r="I288" i="15"/>
  <c r="H288" i="15"/>
  <c r="G288" i="15"/>
  <c r="F288" i="15"/>
  <c r="E288" i="15"/>
  <c r="D288" i="15"/>
  <c r="C288" i="15"/>
  <c r="N287" i="15"/>
  <c r="M287" i="15"/>
  <c r="L287" i="15"/>
  <c r="K287" i="15"/>
  <c r="J287" i="15"/>
  <c r="I287" i="15"/>
  <c r="H287" i="15"/>
  <c r="G287" i="15"/>
  <c r="F287" i="15"/>
  <c r="E287" i="15"/>
  <c r="D287" i="15"/>
  <c r="C287" i="15"/>
  <c r="N286" i="15"/>
  <c r="M286" i="15"/>
  <c r="L286" i="15"/>
  <c r="K286" i="15"/>
  <c r="J286" i="15"/>
  <c r="I286" i="15"/>
  <c r="H286" i="15"/>
  <c r="G286" i="15"/>
  <c r="F286" i="15"/>
  <c r="E286" i="15"/>
  <c r="D286" i="15"/>
  <c r="C286" i="15"/>
  <c r="N285" i="15"/>
  <c r="M285" i="15"/>
  <c r="L285" i="15"/>
  <c r="K285" i="15"/>
  <c r="J285" i="15"/>
  <c r="I285" i="15"/>
  <c r="H285" i="15"/>
  <c r="G285" i="15"/>
  <c r="F285" i="15"/>
  <c r="E285" i="15"/>
  <c r="D285" i="15"/>
  <c r="C285" i="15"/>
  <c r="N284" i="15"/>
  <c r="M284" i="15"/>
  <c r="L284" i="15"/>
  <c r="K284" i="15"/>
  <c r="J284" i="15"/>
  <c r="I284" i="15"/>
  <c r="H284" i="15"/>
  <c r="G284" i="15"/>
  <c r="F284" i="15"/>
  <c r="E284" i="15"/>
  <c r="D284" i="15"/>
  <c r="C284" i="15"/>
  <c r="N283" i="15"/>
  <c r="M283" i="15"/>
  <c r="L283" i="15"/>
  <c r="K283" i="15"/>
  <c r="J283" i="15"/>
  <c r="I283" i="15"/>
  <c r="H283" i="15"/>
  <c r="G283" i="15"/>
  <c r="F283" i="15"/>
  <c r="E283" i="15"/>
  <c r="D283" i="15"/>
  <c r="C283" i="15"/>
  <c r="N282" i="15"/>
  <c r="M282" i="15"/>
  <c r="L282" i="15"/>
  <c r="K282" i="15"/>
  <c r="J282" i="15"/>
  <c r="I282" i="15"/>
  <c r="H282" i="15"/>
  <c r="G282" i="15"/>
  <c r="F282" i="15"/>
  <c r="E282" i="15"/>
  <c r="D282" i="15"/>
  <c r="C282" i="15"/>
  <c r="N281" i="15"/>
  <c r="M281" i="15"/>
  <c r="L281" i="15"/>
  <c r="K281" i="15"/>
  <c r="J281" i="15"/>
  <c r="I281" i="15"/>
  <c r="H281" i="15"/>
  <c r="G281" i="15"/>
  <c r="F281" i="15"/>
  <c r="E281" i="15"/>
  <c r="D281" i="15"/>
  <c r="C281" i="15"/>
  <c r="N280" i="15"/>
  <c r="M280" i="15"/>
  <c r="L280" i="15"/>
  <c r="K280" i="15"/>
  <c r="J280" i="15"/>
  <c r="I280" i="15"/>
  <c r="H280" i="15"/>
  <c r="G280" i="15"/>
  <c r="F280" i="15"/>
  <c r="E280" i="15"/>
  <c r="D280" i="15"/>
  <c r="C280" i="15"/>
  <c r="N279" i="15"/>
  <c r="M279" i="15"/>
  <c r="L279" i="15"/>
  <c r="K279" i="15"/>
  <c r="J279" i="15"/>
  <c r="I279" i="15"/>
  <c r="H279" i="15"/>
  <c r="G279" i="15"/>
  <c r="F279" i="15"/>
  <c r="E279" i="15"/>
  <c r="D279" i="15"/>
  <c r="C279" i="15"/>
  <c r="N278" i="15"/>
  <c r="M278" i="15"/>
  <c r="L278" i="15"/>
  <c r="K278" i="15"/>
  <c r="J278" i="15"/>
  <c r="I278" i="15"/>
  <c r="H278" i="15"/>
  <c r="G278" i="15"/>
  <c r="F278" i="15"/>
  <c r="E278" i="15"/>
  <c r="D278" i="15"/>
  <c r="C278" i="15"/>
  <c r="N277" i="15"/>
  <c r="M277" i="15"/>
  <c r="L277" i="15"/>
  <c r="K277" i="15"/>
  <c r="J277" i="15"/>
  <c r="I277" i="15"/>
  <c r="H277" i="15"/>
  <c r="G277" i="15"/>
  <c r="F277" i="15"/>
  <c r="E277" i="15"/>
  <c r="D277" i="15"/>
  <c r="C277" i="15"/>
  <c r="N276" i="15"/>
  <c r="M276" i="15"/>
  <c r="L276" i="15"/>
  <c r="K276" i="15"/>
  <c r="J276" i="15"/>
  <c r="I276" i="15"/>
  <c r="H276" i="15"/>
  <c r="G276" i="15"/>
  <c r="F276" i="15"/>
  <c r="E276" i="15"/>
  <c r="D276" i="15"/>
  <c r="C276" i="15"/>
  <c r="N275" i="15"/>
  <c r="M275" i="15"/>
  <c r="L275" i="15"/>
  <c r="K275" i="15"/>
  <c r="J275" i="15"/>
  <c r="I275" i="15"/>
  <c r="H275" i="15"/>
  <c r="G275" i="15"/>
  <c r="F275" i="15"/>
  <c r="E275" i="15"/>
  <c r="D275" i="15"/>
  <c r="C275" i="15"/>
  <c r="N274" i="15"/>
  <c r="M274" i="15"/>
  <c r="L274" i="15"/>
  <c r="K274" i="15"/>
  <c r="J274" i="15"/>
  <c r="I274" i="15"/>
  <c r="H274" i="15"/>
  <c r="G274" i="15"/>
  <c r="F274" i="15"/>
  <c r="E274" i="15"/>
  <c r="D274" i="15"/>
  <c r="C274" i="15"/>
  <c r="N273" i="15"/>
  <c r="M273" i="15"/>
  <c r="L273" i="15"/>
  <c r="K273" i="15"/>
  <c r="J273" i="15"/>
  <c r="I273" i="15"/>
  <c r="H273" i="15"/>
  <c r="G273" i="15"/>
  <c r="F273" i="15"/>
  <c r="E273" i="15"/>
  <c r="D273" i="15"/>
  <c r="C273" i="15"/>
  <c r="N272" i="15"/>
  <c r="M272" i="15"/>
  <c r="L272" i="15"/>
  <c r="K272" i="15"/>
  <c r="J272" i="15"/>
  <c r="I272" i="15"/>
  <c r="H272" i="15"/>
  <c r="G272" i="15"/>
  <c r="F272" i="15"/>
  <c r="E272" i="15"/>
  <c r="D272" i="15"/>
  <c r="C272" i="15"/>
  <c r="N271" i="15"/>
  <c r="M271" i="15"/>
  <c r="L271" i="15"/>
  <c r="K271" i="15"/>
  <c r="J271" i="15"/>
  <c r="I271" i="15"/>
  <c r="H271" i="15"/>
  <c r="G271" i="15"/>
  <c r="F271" i="15"/>
  <c r="E271" i="15"/>
  <c r="D271" i="15"/>
  <c r="C271" i="15"/>
  <c r="N270" i="15"/>
  <c r="M270" i="15"/>
  <c r="L270" i="15"/>
  <c r="K270" i="15"/>
  <c r="J270" i="15"/>
  <c r="I270" i="15"/>
  <c r="H270" i="15"/>
  <c r="G270" i="15"/>
  <c r="F270" i="15"/>
  <c r="E270" i="15"/>
  <c r="D270" i="15"/>
  <c r="C270" i="15"/>
  <c r="N269" i="15"/>
  <c r="M269" i="15"/>
  <c r="L269" i="15"/>
  <c r="K269" i="15"/>
  <c r="J269" i="15"/>
  <c r="I269" i="15"/>
  <c r="H269" i="15"/>
  <c r="G269" i="15"/>
  <c r="F269" i="15"/>
  <c r="E269" i="15"/>
  <c r="D269" i="15"/>
  <c r="C269" i="15"/>
  <c r="N268" i="15"/>
  <c r="M268" i="15"/>
  <c r="L268" i="15"/>
  <c r="K268" i="15"/>
  <c r="J268" i="15"/>
  <c r="I268" i="15"/>
  <c r="H268" i="15"/>
  <c r="G268" i="15"/>
  <c r="F268" i="15"/>
  <c r="E268" i="15"/>
  <c r="D268" i="15"/>
  <c r="C268" i="15"/>
  <c r="N267" i="15"/>
  <c r="M267" i="15"/>
  <c r="L267" i="15"/>
  <c r="K267" i="15"/>
  <c r="J267" i="15"/>
  <c r="I267" i="15"/>
  <c r="H267" i="15"/>
  <c r="G267" i="15"/>
  <c r="F267" i="15"/>
  <c r="E267" i="15"/>
  <c r="D267" i="15"/>
  <c r="C267" i="15"/>
  <c r="N266" i="15"/>
  <c r="M266" i="15"/>
  <c r="L266" i="15"/>
  <c r="K266" i="15"/>
  <c r="J266" i="15"/>
  <c r="I266" i="15"/>
  <c r="H266" i="15"/>
  <c r="G266" i="15"/>
  <c r="F266" i="15"/>
  <c r="E266" i="15"/>
  <c r="D266" i="15"/>
  <c r="C266" i="15"/>
  <c r="N265" i="15"/>
  <c r="M265" i="15"/>
  <c r="L265" i="15"/>
  <c r="K265" i="15"/>
  <c r="J265" i="15"/>
  <c r="I265" i="15"/>
  <c r="H265" i="15"/>
  <c r="G265" i="15"/>
  <c r="F265" i="15"/>
  <c r="E265" i="15"/>
  <c r="D265" i="15"/>
  <c r="C265" i="15"/>
  <c r="N264" i="15"/>
  <c r="M264" i="15"/>
  <c r="L264" i="15"/>
  <c r="K264" i="15"/>
  <c r="J264" i="15"/>
  <c r="I264" i="15"/>
  <c r="H264" i="15"/>
  <c r="G264" i="15"/>
  <c r="F264" i="15"/>
  <c r="E264" i="15"/>
  <c r="D264" i="15"/>
  <c r="C264" i="15"/>
  <c r="N263" i="15"/>
  <c r="M263" i="15"/>
  <c r="L263" i="15"/>
  <c r="K263" i="15"/>
  <c r="J263" i="15"/>
  <c r="I263" i="15"/>
  <c r="H263" i="15"/>
  <c r="G263" i="15"/>
  <c r="F263" i="15"/>
  <c r="E263" i="15"/>
  <c r="D263" i="15"/>
  <c r="C263" i="15"/>
  <c r="N262" i="15"/>
  <c r="M262" i="15"/>
  <c r="L262" i="15"/>
  <c r="K262" i="15"/>
  <c r="J262" i="15"/>
  <c r="I262" i="15"/>
  <c r="H262" i="15"/>
  <c r="G262" i="15"/>
  <c r="F262" i="15"/>
  <c r="E262" i="15"/>
  <c r="D262" i="15"/>
  <c r="C262" i="15"/>
  <c r="N261" i="15"/>
  <c r="M261" i="15"/>
  <c r="L261" i="15"/>
  <c r="K261" i="15"/>
  <c r="J261" i="15"/>
  <c r="I261" i="15"/>
  <c r="H261" i="15"/>
  <c r="G261" i="15"/>
  <c r="F261" i="15"/>
  <c r="E261" i="15"/>
  <c r="D261" i="15"/>
  <c r="C261" i="15"/>
  <c r="N260" i="15"/>
  <c r="M260" i="15"/>
  <c r="L260" i="15"/>
  <c r="K260" i="15"/>
  <c r="J260" i="15"/>
  <c r="I260" i="15"/>
  <c r="H260" i="15"/>
  <c r="G260" i="15"/>
  <c r="F260" i="15"/>
  <c r="E260" i="15"/>
  <c r="D260" i="15"/>
  <c r="C260" i="15"/>
  <c r="N259" i="15"/>
  <c r="M259" i="15"/>
  <c r="L259" i="15"/>
  <c r="K259" i="15"/>
  <c r="J259" i="15"/>
  <c r="I259" i="15"/>
  <c r="H259" i="15"/>
  <c r="G259" i="15"/>
  <c r="F259" i="15"/>
  <c r="E259" i="15"/>
  <c r="D259" i="15"/>
  <c r="C259" i="15"/>
  <c r="N258" i="15"/>
  <c r="M258" i="15"/>
  <c r="L258" i="15"/>
  <c r="K258" i="15"/>
  <c r="J258" i="15"/>
  <c r="I258" i="15"/>
  <c r="H258" i="15"/>
  <c r="G258" i="15"/>
  <c r="F258" i="15"/>
  <c r="E258" i="15"/>
  <c r="D258" i="15"/>
  <c r="C258" i="15"/>
  <c r="N257" i="15"/>
  <c r="M257" i="15"/>
  <c r="L257" i="15"/>
  <c r="K257" i="15"/>
  <c r="J257" i="15"/>
  <c r="I257" i="15"/>
  <c r="H257" i="15"/>
  <c r="G257" i="15"/>
  <c r="F257" i="15"/>
  <c r="E257" i="15"/>
  <c r="D257" i="15"/>
  <c r="C257" i="15"/>
  <c r="N256" i="15"/>
  <c r="M256" i="15"/>
  <c r="L256" i="15"/>
  <c r="K256" i="15"/>
  <c r="J256" i="15"/>
  <c r="I256" i="15"/>
  <c r="H256" i="15"/>
  <c r="G256" i="15"/>
  <c r="F256" i="15"/>
  <c r="E256" i="15"/>
  <c r="D256" i="15"/>
  <c r="C256" i="15"/>
  <c r="N255" i="15"/>
  <c r="M255" i="15"/>
  <c r="L255" i="15"/>
  <c r="K255" i="15"/>
  <c r="J255" i="15"/>
  <c r="I255" i="15"/>
  <c r="H255" i="15"/>
  <c r="G255" i="15"/>
  <c r="F255" i="15"/>
  <c r="E255" i="15"/>
  <c r="D255" i="15"/>
  <c r="C255" i="15"/>
  <c r="N254" i="15"/>
  <c r="M254" i="15"/>
  <c r="L254" i="15"/>
  <c r="K254" i="15"/>
  <c r="J254" i="15"/>
  <c r="I254" i="15"/>
  <c r="H254" i="15"/>
  <c r="G254" i="15"/>
  <c r="F254" i="15"/>
  <c r="E254" i="15"/>
  <c r="D254" i="15"/>
  <c r="C254" i="15"/>
  <c r="N253" i="15"/>
  <c r="M253" i="15"/>
  <c r="L253" i="15"/>
  <c r="K253" i="15"/>
  <c r="J253" i="15"/>
  <c r="I253" i="15"/>
  <c r="H253" i="15"/>
  <c r="G253" i="15"/>
  <c r="F253" i="15"/>
  <c r="E253" i="15"/>
  <c r="D253" i="15"/>
  <c r="C253" i="15"/>
  <c r="N252" i="15"/>
  <c r="M252" i="15"/>
  <c r="L252" i="15"/>
  <c r="K252" i="15"/>
  <c r="J252" i="15"/>
  <c r="I252" i="15"/>
  <c r="H252" i="15"/>
  <c r="G252" i="15"/>
  <c r="F252" i="15"/>
  <c r="E252" i="15"/>
  <c r="D252" i="15"/>
  <c r="C252" i="15"/>
  <c r="N251" i="15"/>
  <c r="M251" i="15"/>
  <c r="L251" i="15"/>
  <c r="K251" i="15"/>
  <c r="J251" i="15"/>
  <c r="I251" i="15"/>
  <c r="H251" i="15"/>
  <c r="G251" i="15"/>
  <c r="F251" i="15"/>
  <c r="E251" i="15"/>
  <c r="D251" i="15"/>
  <c r="C251" i="15"/>
  <c r="N250" i="15"/>
  <c r="M250" i="15"/>
  <c r="L250" i="15"/>
  <c r="K250" i="15"/>
  <c r="J250" i="15"/>
  <c r="I250" i="15"/>
  <c r="H250" i="15"/>
  <c r="G250" i="15"/>
  <c r="F250" i="15"/>
  <c r="E250" i="15"/>
  <c r="D250" i="15"/>
  <c r="C250" i="15"/>
  <c r="N249" i="15"/>
  <c r="M249" i="15"/>
  <c r="L249" i="15"/>
  <c r="K249" i="15"/>
  <c r="J249" i="15"/>
  <c r="I249" i="15"/>
  <c r="H249" i="15"/>
  <c r="G249" i="15"/>
  <c r="F249" i="15"/>
  <c r="E249" i="15"/>
  <c r="D249" i="15"/>
  <c r="C249" i="15"/>
  <c r="N248" i="15"/>
  <c r="M248" i="15"/>
  <c r="L248" i="15"/>
  <c r="K248" i="15"/>
  <c r="J248" i="15"/>
  <c r="I248" i="15"/>
  <c r="H248" i="15"/>
  <c r="G248" i="15"/>
  <c r="F248" i="15"/>
  <c r="E248" i="15"/>
  <c r="D248" i="15"/>
  <c r="C248" i="15"/>
  <c r="N247" i="15"/>
  <c r="M247" i="15"/>
  <c r="L247" i="15"/>
  <c r="K247" i="15"/>
  <c r="J247" i="15"/>
  <c r="I247" i="15"/>
  <c r="H247" i="15"/>
  <c r="G247" i="15"/>
  <c r="F247" i="15"/>
  <c r="E247" i="15"/>
  <c r="D247" i="15"/>
  <c r="C247" i="15"/>
  <c r="N246" i="15"/>
  <c r="M246" i="15"/>
  <c r="L246" i="15"/>
  <c r="K246" i="15"/>
  <c r="J246" i="15"/>
  <c r="I246" i="15"/>
  <c r="H246" i="15"/>
  <c r="G246" i="15"/>
  <c r="F246" i="15"/>
  <c r="E246" i="15"/>
  <c r="D246" i="15"/>
  <c r="C246" i="15"/>
  <c r="N245" i="15"/>
  <c r="M245" i="15"/>
  <c r="L245" i="15"/>
  <c r="K245" i="15"/>
  <c r="J245" i="15"/>
  <c r="I245" i="15"/>
  <c r="H245" i="15"/>
  <c r="G245" i="15"/>
  <c r="F245" i="15"/>
  <c r="E245" i="15"/>
  <c r="D245" i="15"/>
  <c r="C245" i="15"/>
  <c r="N244" i="15"/>
  <c r="M244" i="15"/>
  <c r="L244" i="15"/>
  <c r="K244" i="15"/>
  <c r="J244" i="15"/>
  <c r="I244" i="15"/>
  <c r="H244" i="15"/>
  <c r="G244" i="15"/>
  <c r="F244" i="15"/>
  <c r="E244" i="15"/>
  <c r="D244" i="15"/>
  <c r="C244" i="15"/>
  <c r="N243" i="15"/>
  <c r="M243" i="15"/>
  <c r="L243" i="15"/>
  <c r="K243" i="15"/>
  <c r="J243" i="15"/>
  <c r="I243" i="15"/>
  <c r="H243" i="15"/>
  <c r="G243" i="15"/>
  <c r="F243" i="15"/>
  <c r="E243" i="15"/>
  <c r="D243" i="15"/>
  <c r="C243" i="15"/>
  <c r="N242" i="15"/>
  <c r="M242" i="15"/>
  <c r="L242" i="15"/>
  <c r="K242" i="15"/>
  <c r="J242" i="15"/>
  <c r="I242" i="15"/>
  <c r="H242" i="15"/>
  <c r="G242" i="15"/>
  <c r="F242" i="15"/>
  <c r="E242" i="15"/>
  <c r="D242" i="15"/>
  <c r="C242" i="15"/>
  <c r="N241" i="15"/>
  <c r="M241" i="15"/>
  <c r="L241" i="15"/>
  <c r="K241" i="15"/>
  <c r="J241" i="15"/>
  <c r="I241" i="15"/>
  <c r="H241" i="15"/>
  <c r="G241" i="15"/>
  <c r="F241" i="15"/>
  <c r="E241" i="15"/>
  <c r="D241" i="15"/>
  <c r="C241" i="15"/>
  <c r="N240" i="15"/>
  <c r="M240" i="15"/>
  <c r="L240" i="15"/>
  <c r="K240" i="15"/>
  <c r="J240" i="15"/>
  <c r="I240" i="15"/>
  <c r="H240" i="15"/>
  <c r="G240" i="15"/>
  <c r="F240" i="15"/>
  <c r="E240" i="15"/>
  <c r="D240" i="15"/>
  <c r="C240" i="15"/>
  <c r="N239" i="15"/>
  <c r="M239" i="15"/>
  <c r="L239" i="15"/>
  <c r="K239" i="15"/>
  <c r="J239" i="15"/>
  <c r="I239" i="15"/>
  <c r="H239" i="15"/>
  <c r="G239" i="15"/>
  <c r="F239" i="15"/>
  <c r="E239" i="15"/>
  <c r="D239" i="15"/>
  <c r="C239" i="15"/>
  <c r="N238" i="15"/>
  <c r="M238" i="15"/>
  <c r="L238" i="15"/>
  <c r="K238" i="15"/>
  <c r="J238" i="15"/>
  <c r="I238" i="15"/>
  <c r="H238" i="15"/>
  <c r="G238" i="15"/>
  <c r="F238" i="15"/>
  <c r="E238" i="15"/>
  <c r="D238" i="15"/>
  <c r="C238" i="15"/>
  <c r="N237" i="15"/>
  <c r="M237" i="15"/>
  <c r="L237" i="15"/>
  <c r="K237" i="15"/>
  <c r="J237" i="15"/>
  <c r="I237" i="15"/>
  <c r="H237" i="15"/>
  <c r="G237" i="15"/>
  <c r="F237" i="15"/>
  <c r="E237" i="15"/>
  <c r="D237" i="15"/>
  <c r="C237" i="15"/>
  <c r="N236" i="15"/>
  <c r="M236" i="15"/>
  <c r="L236" i="15"/>
  <c r="K236" i="15"/>
  <c r="J236" i="15"/>
  <c r="I236" i="15"/>
  <c r="H236" i="15"/>
  <c r="G236" i="15"/>
  <c r="F236" i="15"/>
  <c r="E236" i="15"/>
  <c r="D236" i="15"/>
  <c r="C236" i="15"/>
  <c r="N235" i="15"/>
  <c r="M235" i="15"/>
  <c r="L235" i="15"/>
  <c r="K235" i="15"/>
  <c r="J235" i="15"/>
  <c r="I235" i="15"/>
  <c r="H235" i="15"/>
  <c r="G235" i="15"/>
  <c r="F235" i="15"/>
  <c r="E235" i="15"/>
  <c r="D235" i="15"/>
  <c r="C235" i="15"/>
  <c r="N234" i="15"/>
  <c r="M234" i="15"/>
  <c r="L234" i="15"/>
  <c r="K234" i="15"/>
  <c r="J234" i="15"/>
  <c r="I234" i="15"/>
  <c r="H234" i="15"/>
  <c r="G234" i="15"/>
  <c r="F234" i="15"/>
  <c r="E234" i="15"/>
  <c r="D234" i="15"/>
  <c r="C234" i="15"/>
  <c r="N233" i="15"/>
  <c r="M233" i="15"/>
  <c r="L233" i="15"/>
  <c r="K233" i="15"/>
  <c r="J233" i="15"/>
  <c r="I233" i="15"/>
  <c r="H233" i="15"/>
  <c r="G233" i="15"/>
  <c r="F233" i="15"/>
  <c r="E233" i="15"/>
  <c r="D233" i="15"/>
  <c r="C233" i="15"/>
  <c r="N232" i="15"/>
  <c r="M232" i="15"/>
  <c r="L232" i="15"/>
  <c r="K232" i="15"/>
  <c r="J232" i="15"/>
  <c r="I232" i="15"/>
  <c r="H232" i="15"/>
  <c r="G232" i="15"/>
  <c r="F232" i="15"/>
  <c r="E232" i="15"/>
  <c r="D232" i="15"/>
  <c r="C232" i="15"/>
  <c r="N231" i="15"/>
  <c r="M231" i="15"/>
  <c r="L231" i="15"/>
  <c r="K231" i="15"/>
  <c r="J231" i="15"/>
  <c r="I231" i="15"/>
  <c r="H231" i="15"/>
  <c r="G231" i="15"/>
  <c r="F231" i="15"/>
  <c r="E231" i="15"/>
  <c r="D231" i="15"/>
  <c r="C231" i="15"/>
  <c r="N230" i="15"/>
  <c r="M230" i="15"/>
  <c r="L230" i="15"/>
  <c r="K230" i="15"/>
  <c r="J230" i="15"/>
  <c r="I230" i="15"/>
  <c r="H230" i="15"/>
  <c r="G230" i="15"/>
  <c r="F230" i="15"/>
  <c r="E230" i="15"/>
  <c r="D230" i="15"/>
  <c r="C230" i="15"/>
  <c r="N229" i="15"/>
  <c r="M229" i="15"/>
  <c r="L229" i="15"/>
  <c r="K229" i="15"/>
  <c r="J229" i="15"/>
  <c r="I229" i="15"/>
  <c r="H229" i="15"/>
  <c r="G229" i="15"/>
  <c r="F229" i="15"/>
  <c r="E229" i="15"/>
  <c r="D229" i="15"/>
  <c r="C229" i="15"/>
  <c r="N228" i="15"/>
  <c r="M228" i="15"/>
  <c r="L228" i="15"/>
  <c r="K228" i="15"/>
  <c r="J228" i="15"/>
  <c r="I228" i="15"/>
  <c r="H228" i="15"/>
  <c r="G228" i="15"/>
  <c r="F228" i="15"/>
  <c r="E228" i="15"/>
  <c r="D228" i="15"/>
  <c r="C228" i="15"/>
  <c r="N227" i="15"/>
  <c r="M227" i="15"/>
  <c r="L227" i="15"/>
  <c r="K227" i="15"/>
  <c r="J227" i="15"/>
  <c r="I227" i="15"/>
  <c r="H227" i="15"/>
  <c r="G227" i="15"/>
  <c r="F227" i="15"/>
  <c r="E227" i="15"/>
  <c r="D227" i="15"/>
  <c r="C227" i="15"/>
  <c r="N226" i="15"/>
  <c r="M226" i="15"/>
  <c r="L226" i="15"/>
  <c r="K226" i="15"/>
  <c r="J226" i="15"/>
  <c r="I226" i="15"/>
  <c r="H226" i="15"/>
  <c r="G226" i="15"/>
  <c r="F226" i="15"/>
  <c r="E226" i="15"/>
  <c r="D226" i="15"/>
  <c r="C226" i="15"/>
  <c r="N225" i="15"/>
  <c r="M225" i="15"/>
  <c r="L225" i="15"/>
  <c r="K225" i="15"/>
  <c r="J225" i="15"/>
  <c r="I225" i="15"/>
  <c r="H225" i="15"/>
  <c r="G225" i="15"/>
  <c r="F225" i="15"/>
  <c r="E225" i="15"/>
  <c r="D225" i="15"/>
  <c r="C225" i="15"/>
  <c r="N224" i="15"/>
  <c r="M224" i="15"/>
  <c r="L224" i="15"/>
  <c r="K224" i="15"/>
  <c r="J224" i="15"/>
  <c r="I224" i="15"/>
  <c r="H224" i="15"/>
  <c r="G224" i="15"/>
  <c r="F224" i="15"/>
  <c r="E224" i="15"/>
  <c r="D224" i="15"/>
  <c r="C224" i="15"/>
  <c r="N223" i="15"/>
  <c r="M223" i="15"/>
  <c r="L223" i="15"/>
  <c r="K223" i="15"/>
  <c r="J223" i="15"/>
  <c r="I223" i="15"/>
  <c r="H223" i="15"/>
  <c r="G223" i="15"/>
  <c r="F223" i="15"/>
  <c r="E223" i="15"/>
  <c r="D223" i="15"/>
  <c r="C223" i="15"/>
  <c r="N222" i="15"/>
  <c r="M222" i="15"/>
  <c r="L222" i="15"/>
  <c r="K222" i="15"/>
  <c r="J222" i="15"/>
  <c r="I222" i="15"/>
  <c r="H222" i="15"/>
  <c r="G222" i="15"/>
  <c r="F222" i="15"/>
  <c r="E222" i="15"/>
  <c r="D222" i="15"/>
  <c r="C222" i="15"/>
  <c r="N221" i="15"/>
  <c r="M221" i="15"/>
  <c r="L221" i="15"/>
  <c r="K221" i="15"/>
  <c r="J221" i="15"/>
  <c r="I221" i="15"/>
  <c r="H221" i="15"/>
  <c r="G221" i="15"/>
  <c r="F221" i="15"/>
  <c r="E221" i="15"/>
  <c r="D221" i="15"/>
  <c r="C221" i="15"/>
  <c r="N220" i="15"/>
  <c r="M220" i="15"/>
  <c r="L220" i="15"/>
  <c r="K220" i="15"/>
  <c r="J220" i="15"/>
  <c r="I220" i="15"/>
  <c r="H220" i="15"/>
  <c r="G220" i="15"/>
  <c r="F220" i="15"/>
  <c r="E220" i="15"/>
  <c r="D220" i="15"/>
  <c r="C220" i="15"/>
  <c r="N219" i="15"/>
  <c r="M219" i="15"/>
  <c r="L219" i="15"/>
  <c r="K219" i="15"/>
  <c r="J219" i="15"/>
  <c r="I219" i="15"/>
  <c r="H219" i="15"/>
  <c r="G219" i="15"/>
  <c r="F219" i="15"/>
  <c r="E219" i="15"/>
  <c r="D219" i="15"/>
  <c r="C219" i="15"/>
  <c r="N218" i="15"/>
  <c r="M218" i="15"/>
  <c r="L218" i="15"/>
  <c r="K218" i="15"/>
  <c r="J218" i="15"/>
  <c r="I218" i="15"/>
  <c r="H218" i="15"/>
  <c r="G218" i="15"/>
  <c r="F218" i="15"/>
  <c r="E218" i="15"/>
  <c r="D218" i="15"/>
  <c r="C218" i="15"/>
  <c r="N217" i="15"/>
  <c r="M217" i="15"/>
  <c r="L217" i="15"/>
  <c r="K217" i="15"/>
  <c r="J217" i="15"/>
  <c r="I217" i="15"/>
  <c r="H217" i="15"/>
  <c r="G217" i="15"/>
  <c r="F217" i="15"/>
  <c r="E217" i="15"/>
  <c r="D217" i="15"/>
  <c r="C217" i="15"/>
  <c r="N216" i="15"/>
  <c r="M216" i="15"/>
  <c r="L216" i="15"/>
  <c r="K216" i="15"/>
  <c r="J216" i="15"/>
  <c r="I216" i="15"/>
  <c r="H216" i="15"/>
  <c r="G216" i="15"/>
  <c r="F216" i="15"/>
  <c r="E216" i="15"/>
  <c r="D216" i="15"/>
  <c r="C216" i="15"/>
  <c r="N215" i="15"/>
  <c r="M215" i="15"/>
  <c r="L215" i="15"/>
  <c r="K215" i="15"/>
  <c r="J215" i="15"/>
  <c r="I215" i="15"/>
  <c r="H215" i="15"/>
  <c r="G215" i="15"/>
  <c r="F215" i="15"/>
  <c r="E215" i="15"/>
  <c r="D215" i="15"/>
  <c r="C215" i="15"/>
  <c r="N214" i="15"/>
  <c r="M214" i="15"/>
  <c r="L214" i="15"/>
  <c r="K214" i="15"/>
  <c r="J214" i="15"/>
  <c r="I214" i="15"/>
  <c r="H214" i="15"/>
  <c r="G214" i="15"/>
  <c r="F214" i="15"/>
  <c r="E214" i="15"/>
  <c r="D214" i="15"/>
  <c r="C214" i="15"/>
  <c r="N213" i="15"/>
  <c r="M213" i="15"/>
  <c r="L213" i="15"/>
  <c r="K213" i="15"/>
  <c r="J213" i="15"/>
  <c r="I213" i="15"/>
  <c r="H213" i="15"/>
  <c r="G213" i="15"/>
  <c r="F213" i="15"/>
  <c r="E213" i="15"/>
  <c r="D213" i="15"/>
  <c r="C213" i="15"/>
  <c r="N212" i="15"/>
  <c r="M212" i="15"/>
  <c r="L212" i="15"/>
  <c r="K212" i="15"/>
  <c r="J212" i="15"/>
  <c r="I212" i="15"/>
  <c r="H212" i="15"/>
  <c r="G212" i="15"/>
  <c r="F212" i="15"/>
  <c r="E212" i="15"/>
  <c r="D212" i="15"/>
  <c r="C212" i="15"/>
  <c r="N211" i="15"/>
  <c r="M211" i="15"/>
  <c r="L211" i="15"/>
  <c r="K211" i="15"/>
  <c r="J211" i="15"/>
  <c r="I211" i="15"/>
  <c r="H211" i="15"/>
  <c r="G211" i="15"/>
  <c r="F211" i="15"/>
  <c r="E211" i="15"/>
  <c r="D211" i="15"/>
  <c r="C211" i="15"/>
  <c r="N210" i="15"/>
  <c r="M210" i="15"/>
  <c r="L210" i="15"/>
  <c r="K210" i="15"/>
  <c r="J210" i="15"/>
  <c r="I210" i="15"/>
  <c r="H210" i="15"/>
  <c r="G210" i="15"/>
  <c r="F210" i="15"/>
  <c r="E210" i="15"/>
  <c r="D210" i="15"/>
  <c r="C210" i="15"/>
  <c r="N209" i="15"/>
  <c r="M209" i="15"/>
  <c r="L209" i="15"/>
  <c r="K209" i="15"/>
  <c r="J209" i="15"/>
  <c r="I209" i="15"/>
  <c r="H209" i="15"/>
  <c r="G209" i="15"/>
  <c r="F209" i="15"/>
  <c r="E209" i="15"/>
  <c r="D209" i="15"/>
  <c r="C209" i="15"/>
  <c r="N208" i="15"/>
  <c r="M208" i="15"/>
  <c r="L208" i="15"/>
  <c r="K208" i="15"/>
  <c r="J208" i="15"/>
  <c r="I208" i="15"/>
  <c r="H208" i="15"/>
  <c r="G208" i="15"/>
  <c r="F208" i="15"/>
  <c r="E208" i="15"/>
  <c r="D208" i="15"/>
  <c r="C208" i="15"/>
  <c r="N207" i="15"/>
  <c r="M207" i="15"/>
  <c r="L207" i="15"/>
  <c r="K207" i="15"/>
  <c r="J207" i="15"/>
  <c r="I207" i="15"/>
  <c r="H207" i="15"/>
  <c r="G207" i="15"/>
  <c r="F207" i="15"/>
  <c r="E207" i="15"/>
  <c r="D207" i="15"/>
  <c r="C207" i="15"/>
  <c r="N206" i="15"/>
  <c r="M206" i="15"/>
  <c r="L206" i="15"/>
  <c r="K206" i="15"/>
  <c r="J206" i="15"/>
  <c r="I206" i="15"/>
  <c r="H206" i="15"/>
  <c r="G206" i="15"/>
  <c r="F206" i="15"/>
  <c r="E206" i="15"/>
  <c r="D206" i="15"/>
  <c r="C206" i="15"/>
  <c r="N205" i="15"/>
  <c r="M205" i="15"/>
  <c r="L205" i="15"/>
  <c r="K205" i="15"/>
  <c r="J205" i="15"/>
  <c r="I205" i="15"/>
  <c r="H205" i="15"/>
  <c r="G205" i="15"/>
  <c r="F205" i="15"/>
  <c r="E205" i="15"/>
  <c r="D205" i="15"/>
  <c r="C205" i="15"/>
  <c r="N204" i="15"/>
  <c r="M204" i="15"/>
  <c r="L204" i="15"/>
  <c r="K204" i="15"/>
  <c r="J204" i="15"/>
  <c r="I204" i="15"/>
  <c r="H204" i="15"/>
  <c r="G204" i="15"/>
  <c r="F204" i="15"/>
  <c r="E204" i="15"/>
  <c r="D204" i="15"/>
  <c r="C204" i="15"/>
  <c r="N203" i="15"/>
  <c r="M203" i="15"/>
  <c r="L203" i="15"/>
  <c r="K203" i="15"/>
  <c r="J203" i="15"/>
  <c r="I203" i="15"/>
  <c r="H203" i="15"/>
  <c r="G203" i="15"/>
  <c r="F203" i="15"/>
  <c r="E203" i="15"/>
  <c r="D203" i="15"/>
  <c r="C203" i="15"/>
  <c r="N202" i="15"/>
  <c r="M202" i="15"/>
  <c r="L202" i="15"/>
  <c r="K202" i="15"/>
  <c r="J202" i="15"/>
  <c r="I202" i="15"/>
  <c r="H202" i="15"/>
  <c r="G202" i="15"/>
  <c r="F202" i="15"/>
  <c r="E202" i="15"/>
  <c r="D202" i="15"/>
  <c r="C202" i="15"/>
  <c r="N201" i="15"/>
  <c r="M201" i="15"/>
  <c r="L201" i="15"/>
  <c r="K201" i="15"/>
  <c r="J201" i="15"/>
  <c r="I201" i="15"/>
  <c r="H201" i="15"/>
  <c r="G201" i="15"/>
  <c r="F201" i="15"/>
  <c r="E201" i="15"/>
  <c r="D201" i="15"/>
  <c r="C201" i="15"/>
  <c r="N200" i="15"/>
  <c r="M200" i="15"/>
  <c r="L200" i="15"/>
  <c r="K200" i="15"/>
  <c r="J200" i="15"/>
  <c r="I200" i="15"/>
  <c r="H200" i="15"/>
  <c r="G200" i="15"/>
  <c r="F200" i="15"/>
  <c r="E200" i="15"/>
  <c r="D200" i="15"/>
  <c r="C200" i="15"/>
  <c r="N199" i="15"/>
  <c r="M199" i="15"/>
  <c r="L199" i="15"/>
  <c r="K199" i="15"/>
  <c r="J199" i="15"/>
  <c r="I199" i="15"/>
  <c r="H199" i="15"/>
  <c r="G199" i="15"/>
  <c r="F199" i="15"/>
  <c r="E199" i="15"/>
  <c r="D199" i="15"/>
  <c r="C199" i="15"/>
  <c r="N198" i="15"/>
  <c r="M198" i="15"/>
  <c r="L198" i="15"/>
  <c r="K198" i="15"/>
  <c r="J198" i="15"/>
  <c r="I198" i="15"/>
  <c r="H198" i="15"/>
  <c r="G198" i="15"/>
  <c r="F198" i="15"/>
  <c r="E198" i="15"/>
  <c r="D198" i="15"/>
  <c r="C198" i="15"/>
  <c r="N197" i="15"/>
  <c r="M197" i="15"/>
  <c r="L197" i="15"/>
  <c r="K197" i="15"/>
  <c r="J197" i="15"/>
  <c r="I197" i="15"/>
  <c r="H197" i="15"/>
  <c r="G197" i="15"/>
  <c r="F197" i="15"/>
  <c r="E197" i="15"/>
  <c r="D197" i="15"/>
  <c r="C197" i="15"/>
  <c r="N196" i="15"/>
  <c r="M196" i="15"/>
  <c r="L196" i="15"/>
  <c r="K196" i="15"/>
  <c r="J196" i="15"/>
  <c r="I196" i="15"/>
  <c r="H196" i="15"/>
  <c r="G196" i="15"/>
  <c r="F196" i="15"/>
  <c r="E196" i="15"/>
  <c r="D196" i="15"/>
  <c r="C196" i="15"/>
  <c r="N195" i="15"/>
  <c r="M195" i="15"/>
  <c r="L195" i="15"/>
  <c r="K195" i="15"/>
  <c r="J195" i="15"/>
  <c r="I195" i="15"/>
  <c r="H195" i="15"/>
  <c r="G195" i="15"/>
  <c r="F195" i="15"/>
  <c r="E195" i="15"/>
  <c r="D195" i="15"/>
  <c r="C195" i="15"/>
  <c r="N194" i="15"/>
  <c r="M194" i="15"/>
  <c r="L194" i="15"/>
  <c r="K194" i="15"/>
  <c r="J194" i="15"/>
  <c r="I194" i="15"/>
  <c r="H194" i="15"/>
  <c r="G194" i="15"/>
  <c r="F194" i="15"/>
  <c r="E194" i="15"/>
  <c r="D194" i="15"/>
  <c r="C194" i="15"/>
  <c r="N193" i="15"/>
  <c r="M193" i="15"/>
  <c r="L193" i="15"/>
  <c r="K193" i="15"/>
  <c r="J193" i="15"/>
  <c r="I193" i="15"/>
  <c r="H193" i="15"/>
  <c r="G193" i="15"/>
  <c r="F193" i="15"/>
  <c r="E193" i="15"/>
  <c r="D193" i="15"/>
  <c r="C193" i="15"/>
  <c r="N192" i="15"/>
  <c r="M192" i="15"/>
  <c r="L192" i="15"/>
  <c r="K192" i="15"/>
  <c r="J192" i="15"/>
  <c r="I192" i="15"/>
  <c r="H192" i="15"/>
  <c r="G192" i="15"/>
  <c r="F192" i="15"/>
  <c r="E192" i="15"/>
  <c r="D192" i="15"/>
  <c r="C192" i="15"/>
  <c r="N191" i="15"/>
  <c r="M191" i="15"/>
  <c r="L191" i="15"/>
  <c r="K191" i="15"/>
  <c r="J191" i="15"/>
  <c r="I191" i="15"/>
  <c r="H191" i="15"/>
  <c r="G191" i="15"/>
  <c r="F191" i="15"/>
  <c r="E191" i="15"/>
  <c r="D191" i="15"/>
  <c r="C191" i="15"/>
  <c r="N190" i="15"/>
  <c r="M190" i="15"/>
  <c r="L190" i="15"/>
  <c r="K190" i="15"/>
  <c r="J190" i="15"/>
  <c r="I190" i="15"/>
  <c r="H190" i="15"/>
  <c r="G190" i="15"/>
  <c r="F190" i="15"/>
  <c r="E190" i="15"/>
  <c r="D190" i="15"/>
  <c r="C190" i="15"/>
  <c r="N189" i="15"/>
  <c r="M189" i="15"/>
  <c r="L189" i="15"/>
  <c r="K189" i="15"/>
  <c r="J189" i="15"/>
  <c r="I189" i="15"/>
  <c r="H189" i="15"/>
  <c r="G189" i="15"/>
  <c r="F189" i="15"/>
  <c r="E189" i="15"/>
  <c r="D189" i="15"/>
  <c r="C189" i="15"/>
  <c r="N188" i="15"/>
  <c r="M188" i="15"/>
  <c r="L188" i="15"/>
  <c r="K188" i="15"/>
  <c r="J188" i="15"/>
  <c r="I188" i="15"/>
  <c r="H188" i="15"/>
  <c r="G188" i="15"/>
  <c r="F188" i="15"/>
  <c r="E188" i="15"/>
  <c r="D188" i="15"/>
  <c r="C188" i="15"/>
  <c r="N187" i="15"/>
  <c r="M187" i="15"/>
  <c r="L187" i="15"/>
  <c r="K187" i="15"/>
  <c r="J187" i="15"/>
  <c r="I187" i="15"/>
  <c r="H187" i="15"/>
  <c r="G187" i="15"/>
  <c r="F187" i="15"/>
  <c r="E187" i="15"/>
  <c r="D187" i="15"/>
  <c r="C187" i="15"/>
  <c r="N186" i="15"/>
  <c r="M186" i="15"/>
  <c r="L186" i="15"/>
  <c r="K186" i="15"/>
  <c r="J186" i="15"/>
  <c r="I186" i="15"/>
  <c r="H186" i="15"/>
  <c r="G186" i="15"/>
  <c r="F186" i="15"/>
  <c r="E186" i="15"/>
  <c r="D186" i="15"/>
  <c r="C186" i="15"/>
  <c r="N185" i="15"/>
  <c r="M185" i="15"/>
  <c r="L185" i="15"/>
  <c r="K185" i="15"/>
  <c r="J185" i="15"/>
  <c r="I185" i="15"/>
  <c r="H185" i="15"/>
  <c r="G185" i="15"/>
  <c r="F185" i="15"/>
  <c r="E185" i="15"/>
  <c r="D185" i="15"/>
  <c r="C185" i="15"/>
  <c r="N184" i="15"/>
  <c r="M184" i="15"/>
  <c r="L184" i="15"/>
  <c r="K184" i="15"/>
  <c r="J184" i="15"/>
  <c r="I184" i="15"/>
  <c r="H184" i="15"/>
  <c r="G184" i="15"/>
  <c r="F184" i="15"/>
  <c r="E184" i="15"/>
  <c r="D184" i="15"/>
  <c r="C184" i="15"/>
  <c r="N183" i="15"/>
  <c r="M183" i="15"/>
  <c r="L183" i="15"/>
  <c r="K183" i="15"/>
  <c r="J183" i="15"/>
  <c r="I183" i="15"/>
  <c r="H183" i="15"/>
  <c r="G183" i="15"/>
  <c r="F183" i="15"/>
  <c r="E183" i="15"/>
  <c r="D183" i="15"/>
  <c r="C183" i="15"/>
  <c r="N182" i="15"/>
  <c r="M182" i="15"/>
  <c r="L182" i="15"/>
  <c r="K182" i="15"/>
  <c r="J182" i="15"/>
  <c r="I182" i="15"/>
  <c r="H182" i="15"/>
  <c r="G182" i="15"/>
  <c r="F182" i="15"/>
  <c r="E182" i="15"/>
  <c r="D182" i="15"/>
  <c r="C182" i="15"/>
  <c r="N181" i="15"/>
  <c r="M181" i="15"/>
  <c r="L181" i="15"/>
  <c r="K181" i="15"/>
  <c r="J181" i="15"/>
  <c r="I181" i="15"/>
  <c r="H181" i="15"/>
  <c r="G181" i="15"/>
  <c r="F181" i="15"/>
  <c r="E181" i="15"/>
  <c r="D181" i="15"/>
  <c r="C181" i="15"/>
  <c r="N180" i="15"/>
  <c r="M180" i="15"/>
  <c r="L180" i="15"/>
  <c r="K180" i="15"/>
  <c r="J180" i="15"/>
  <c r="I180" i="15"/>
  <c r="H180" i="15"/>
  <c r="G180" i="15"/>
  <c r="F180" i="15"/>
  <c r="E180" i="15"/>
  <c r="D180" i="15"/>
  <c r="C180" i="15"/>
  <c r="N179" i="15"/>
  <c r="M179" i="15"/>
  <c r="L179" i="15"/>
  <c r="K179" i="15"/>
  <c r="J179" i="15"/>
  <c r="I179" i="15"/>
  <c r="H179" i="15"/>
  <c r="G179" i="15"/>
  <c r="F179" i="15"/>
  <c r="E179" i="15"/>
  <c r="D179" i="15"/>
  <c r="C179" i="15"/>
  <c r="N178" i="15"/>
  <c r="M178" i="15"/>
  <c r="L178" i="15"/>
  <c r="K178" i="15"/>
  <c r="J178" i="15"/>
  <c r="I178" i="15"/>
  <c r="H178" i="15"/>
  <c r="G178" i="15"/>
  <c r="F178" i="15"/>
  <c r="E178" i="15"/>
  <c r="D178" i="15"/>
  <c r="C178" i="15"/>
  <c r="N177" i="15"/>
  <c r="M177" i="15"/>
  <c r="L177" i="15"/>
  <c r="K177" i="15"/>
  <c r="J177" i="15"/>
  <c r="I177" i="15"/>
  <c r="H177" i="15"/>
  <c r="G177" i="15"/>
  <c r="F177" i="15"/>
  <c r="E177" i="15"/>
  <c r="D177" i="15"/>
  <c r="C177" i="15"/>
  <c r="N176" i="15"/>
  <c r="M176" i="15"/>
  <c r="L176" i="15"/>
  <c r="K176" i="15"/>
  <c r="J176" i="15"/>
  <c r="I176" i="15"/>
  <c r="H176" i="15"/>
  <c r="G176" i="15"/>
  <c r="F176" i="15"/>
  <c r="E176" i="15"/>
  <c r="D176" i="15"/>
  <c r="C176" i="15"/>
  <c r="N175" i="15"/>
  <c r="M175" i="15"/>
  <c r="L175" i="15"/>
  <c r="K175" i="15"/>
  <c r="J175" i="15"/>
  <c r="I175" i="15"/>
  <c r="H175" i="15"/>
  <c r="G175" i="15"/>
  <c r="F175" i="15"/>
  <c r="E175" i="15"/>
  <c r="D175" i="15"/>
  <c r="C175" i="15"/>
  <c r="N174" i="15"/>
  <c r="M174" i="15"/>
  <c r="L174" i="15"/>
  <c r="K174" i="15"/>
  <c r="J174" i="15"/>
  <c r="I174" i="15"/>
  <c r="H174" i="15"/>
  <c r="G174" i="15"/>
  <c r="F174" i="15"/>
  <c r="E174" i="15"/>
  <c r="D174" i="15"/>
  <c r="C174" i="15"/>
  <c r="N173" i="15"/>
  <c r="M173" i="15"/>
  <c r="L173" i="15"/>
  <c r="K173" i="15"/>
  <c r="J173" i="15"/>
  <c r="I173" i="15"/>
  <c r="H173" i="15"/>
  <c r="G173" i="15"/>
  <c r="F173" i="15"/>
  <c r="E173" i="15"/>
  <c r="D173" i="15"/>
  <c r="C173" i="15"/>
  <c r="N172" i="15"/>
  <c r="M172" i="15"/>
  <c r="L172" i="15"/>
  <c r="K172" i="15"/>
  <c r="J172" i="15"/>
  <c r="I172" i="15"/>
  <c r="H172" i="15"/>
  <c r="G172" i="15"/>
  <c r="F172" i="15"/>
  <c r="E172" i="15"/>
  <c r="D172" i="15"/>
  <c r="C172" i="15"/>
  <c r="N171" i="15"/>
  <c r="M171" i="15"/>
  <c r="L171" i="15"/>
  <c r="K171" i="15"/>
  <c r="J171" i="15"/>
  <c r="I171" i="15"/>
  <c r="H171" i="15"/>
  <c r="G171" i="15"/>
  <c r="F171" i="15"/>
  <c r="E171" i="15"/>
  <c r="D171" i="15"/>
  <c r="C171" i="15"/>
  <c r="N170" i="15"/>
  <c r="M170" i="15"/>
  <c r="L170" i="15"/>
  <c r="K170" i="15"/>
  <c r="J170" i="15"/>
  <c r="I170" i="15"/>
  <c r="H170" i="15"/>
  <c r="G170" i="15"/>
  <c r="F170" i="15"/>
  <c r="E170" i="15"/>
  <c r="D170" i="15"/>
  <c r="C170" i="15"/>
  <c r="N169" i="15"/>
  <c r="M169" i="15"/>
  <c r="L169" i="15"/>
  <c r="K169" i="15"/>
  <c r="J169" i="15"/>
  <c r="I169" i="15"/>
  <c r="H169" i="15"/>
  <c r="G169" i="15"/>
  <c r="F169" i="15"/>
  <c r="E169" i="15"/>
  <c r="D169" i="15"/>
  <c r="C169" i="15"/>
  <c r="N168" i="15"/>
  <c r="M168" i="15"/>
  <c r="L168" i="15"/>
  <c r="K168" i="15"/>
  <c r="J168" i="15"/>
  <c r="I168" i="15"/>
  <c r="H168" i="15"/>
  <c r="G168" i="15"/>
  <c r="F168" i="15"/>
  <c r="E168" i="15"/>
  <c r="D168" i="15"/>
  <c r="C168" i="15"/>
  <c r="N167" i="15"/>
  <c r="M167" i="15"/>
  <c r="L167" i="15"/>
  <c r="K167" i="15"/>
  <c r="J167" i="15"/>
  <c r="I167" i="15"/>
  <c r="H167" i="15"/>
  <c r="G167" i="15"/>
  <c r="F167" i="15"/>
  <c r="E167" i="15"/>
  <c r="D167" i="15"/>
  <c r="C167" i="15"/>
  <c r="N166" i="15"/>
  <c r="M166" i="15"/>
  <c r="L166" i="15"/>
  <c r="K166" i="15"/>
  <c r="J166" i="15"/>
  <c r="I166" i="15"/>
  <c r="H166" i="15"/>
  <c r="G166" i="15"/>
  <c r="F166" i="15"/>
  <c r="E166" i="15"/>
  <c r="D166" i="15"/>
  <c r="C166" i="15"/>
  <c r="N165" i="15"/>
  <c r="M165" i="15"/>
  <c r="L165" i="15"/>
  <c r="K165" i="15"/>
  <c r="J165" i="15"/>
  <c r="I165" i="15"/>
  <c r="H165" i="15"/>
  <c r="G165" i="15"/>
  <c r="F165" i="15"/>
  <c r="E165" i="15"/>
  <c r="D165" i="15"/>
  <c r="C165" i="15"/>
  <c r="N164" i="15"/>
  <c r="M164" i="15"/>
  <c r="L164" i="15"/>
  <c r="K164" i="15"/>
  <c r="J164" i="15"/>
  <c r="I164" i="15"/>
  <c r="H164" i="15"/>
  <c r="G164" i="15"/>
  <c r="F164" i="15"/>
  <c r="E164" i="15"/>
  <c r="D164" i="15"/>
  <c r="C164" i="15"/>
  <c r="N163" i="15"/>
  <c r="M163" i="15"/>
  <c r="L163" i="15"/>
  <c r="K163" i="15"/>
  <c r="J163" i="15"/>
  <c r="I163" i="15"/>
  <c r="H163" i="15"/>
  <c r="G163" i="15"/>
  <c r="F163" i="15"/>
  <c r="E163" i="15"/>
  <c r="D163" i="15"/>
  <c r="C163" i="15"/>
  <c r="N162" i="15"/>
  <c r="M162" i="15"/>
  <c r="L162" i="15"/>
  <c r="K162" i="15"/>
  <c r="J162" i="15"/>
  <c r="I162" i="15"/>
  <c r="H162" i="15"/>
  <c r="G162" i="15"/>
  <c r="F162" i="15"/>
  <c r="E162" i="15"/>
  <c r="D162" i="15"/>
  <c r="C162" i="15"/>
  <c r="N161" i="15"/>
  <c r="M161" i="15"/>
  <c r="L161" i="15"/>
  <c r="K161" i="15"/>
  <c r="J161" i="15"/>
  <c r="I161" i="15"/>
  <c r="H161" i="15"/>
  <c r="G161" i="15"/>
  <c r="F161" i="15"/>
  <c r="E161" i="15"/>
  <c r="D161" i="15"/>
  <c r="C161" i="15"/>
  <c r="N160" i="15"/>
  <c r="M160" i="15"/>
  <c r="L160" i="15"/>
  <c r="K160" i="15"/>
  <c r="J160" i="15"/>
  <c r="I160" i="15"/>
  <c r="H160" i="15"/>
  <c r="G160" i="15"/>
  <c r="F160" i="15"/>
  <c r="E160" i="15"/>
  <c r="D160" i="15"/>
  <c r="C160" i="15"/>
  <c r="N159" i="15"/>
  <c r="M159" i="15"/>
  <c r="L159" i="15"/>
  <c r="K159" i="15"/>
  <c r="J159" i="15"/>
  <c r="I159" i="15"/>
  <c r="H159" i="15"/>
  <c r="G159" i="15"/>
  <c r="F159" i="15"/>
  <c r="E159" i="15"/>
  <c r="D159" i="15"/>
  <c r="C159" i="15"/>
  <c r="N158" i="15"/>
  <c r="M158" i="15"/>
  <c r="L158" i="15"/>
  <c r="K158" i="15"/>
  <c r="J158" i="15"/>
  <c r="I158" i="15"/>
  <c r="H158" i="15"/>
  <c r="G158" i="15"/>
  <c r="F158" i="15"/>
  <c r="E158" i="15"/>
  <c r="D158" i="15"/>
  <c r="C158" i="15"/>
  <c r="N157" i="15"/>
  <c r="M157" i="15"/>
  <c r="L157" i="15"/>
  <c r="K157" i="15"/>
  <c r="J157" i="15"/>
  <c r="I157" i="15"/>
  <c r="H157" i="15"/>
  <c r="G157" i="15"/>
  <c r="F157" i="15"/>
  <c r="E157" i="15"/>
  <c r="D157" i="15"/>
  <c r="C157" i="15"/>
  <c r="N156" i="15"/>
  <c r="M156" i="15"/>
  <c r="L156" i="15"/>
  <c r="K156" i="15"/>
  <c r="J156" i="15"/>
  <c r="I156" i="15"/>
  <c r="H156" i="15"/>
  <c r="G156" i="15"/>
  <c r="F156" i="15"/>
  <c r="E156" i="15"/>
  <c r="D156" i="15"/>
  <c r="C156" i="15"/>
  <c r="N155" i="15"/>
  <c r="M155" i="15"/>
  <c r="L155" i="15"/>
  <c r="K155" i="15"/>
  <c r="J155" i="15"/>
  <c r="I155" i="15"/>
  <c r="H155" i="15"/>
  <c r="G155" i="15"/>
  <c r="F155" i="15"/>
  <c r="E155" i="15"/>
  <c r="D155" i="15"/>
  <c r="C155" i="15"/>
  <c r="N154" i="15"/>
  <c r="M154" i="15"/>
  <c r="L154" i="15"/>
  <c r="K154" i="15"/>
  <c r="J154" i="15"/>
  <c r="I154" i="15"/>
  <c r="H154" i="15"/>
  <c r="G154" i="15"/>
  <c r="F154" i="15"/>
  <c r="E154" i="15"/>
  <c r="D154" i="15"/>
  <c r="C154" i="15"/>
  <c r="N153" i="15"/>
  <c r="M153" i="15"/>
  <c r="L153" i="15"/>
  <c r="K153" i="15"/>
  <c r="J153" i="15"/>
  <c r="I153" i="15"/>
  <c r="H153" i="15"/>
  <c r="G153" i="15"/>
  <c r="F153" i="15"/>
  <c r="E153" i="15"/>
  <c r="D153" i="15"/>
  <c r="C153" i="15"/>
  <c r="N152" i="15"/>
  <c r="M152" i="15"/>
  <c r="L152" i="15"/>
  <c r="K152" i="15"/>
  <c r="J152" i="15"/>
  <c r="I152" i="15"/>
  <c r="H152" i="15"/>
  <c r="G152" i="15"/>
  <c r="F152" i="15"/>
  <c r="E152" i="15"/>
  <c r="D152" i="15"/>
  <c r="C152" i="15"/>
  <c r="N151" i="15"/>
  <c r="M151" i="15"/>
  <c r="L151" i="15"/>
  <c r="K151" i="15"/>
  <c r="J151" i="15"/>
  <c r="I151" i="15"/>
  <c r="H151" i="15"/>
  <c r="G151" i="15"/>
  <c r="F151" i="15"/>
  <c r="E151" i="15"/>
  <c r="D151" i="15"/>
  <c r="C151" i="15"/>
  <c r="N150" i="15"/>
  <c r="M150" i="15"/>
  <c r="L150" i="15"/>
  <c r="K150" i="15"/>
  <c r="J150" i="15"/>
  <c r="I150" i="15"/>
  <c r="H150" i="15"/>
  <c r="G150" i="15"/>
  <c r="F150" i="15"/>
  <c r="E150" i="15"/>
  <c r="D150" i="15"/>
  <c r="C150" i="15"/>
  <c r="N149" i="15"/>
  <c r="M149" i="15"/>
  <c r="L149" i="15"/>
  <c r="K149" i="15"/>
  <c r="J149" i="15"/>
  <c r="I149" i="15"/>
  <c r="H149" i="15"/>
  <c r="G149" i="15"/>
  <c r="F149" i="15"/>
  <c r="E149" i="15"/>
  <c r="D149" i="15"/>
  <c r="C149" i="15"/>
  <c r="N148" i="15"/>
  <c r="M148" i="15"/>
  <c r="L148" i="15"/>
  <c r="K148" i="15"/>
  <c r="J148" i="15"/>
  <c r="I148" i="15"/>
  <c r="H148" i="15"/>
  <c r="G148" i="15"/>
  <c r="F148" i="15"/>
  <c r="E148" i="15"/>
  <c r="D148" i="15"/>
  <c r="C148" i="15"/>
  <c r="N147" i="15"/>
  <c r="M147" i="15"/>
  <c r="L147" i="15"/>
  <c r="K147" i="15"/>
  <c r="J147" i="15"/>
  <c r="I147" i="15"/>
  <c r="H147" i="15"/>
  <c r="G147" i="15"/>
  <c r="F147" i="15"/>
  <c r="E147" i="15"/>
  <c r="D147" i="15"/>
  <c r="C147" i="15"/>
  <c r="N146" i="15"/>
  <c r="M146" i="15"/>
  <c r="L146" i="15"/>
  <c r="K146" i="15"/>
  <c r="J146" i="15"/>
  <c r="I146" i="15"/>
  <c r="H146" i="15"/>
  <c r="G146" i="15"/>
  <c r="F146" i="15"/>
  <c r="E146" i="15"/>
  <c r="D146" i="15"/>
  <c r="C146" i="15"/>
  <c r="N145" i="15"/>
  <c r="M145" i="15"/>
  <c r="L145" i="15"/>
  <c r="K145" i="15"/>
  <c r="J145" i="15"/>
  <c r="I145" i="15"/>
  <c r="H145" i="15"/>
  <c r="G145" i="15"/>
  <c r="F145" i="15"/>
  <c r="E145" i="15"/>
  <c r="D145" i="15"/>
  <c r="C145" i="15"/>
  <c r="N144" i="15"/>
  <c r="M144" i="15"/>
  <c r="L144" i="15"/>
  <c r="K144" i="15"/>
  <c r="J144" i="15"/>
  <c r="I144" i="15"/>
  <c r="H144" i="15"/>
  <c r="G144" i="15"/>
  <c r="F144" i="15"/>
  <c r="E144" i="15"/>
  <c r="D144" i="15"/>
  <c r="C144" i="15"/>
  <c r="N143" i="15"/>
  <c r="M143" i="15"/>
  <c r="L143" i="15"/>
  <c r="K143" i="15"/>
  <c r="J143" i="15"/>
  <c r="I143" i="15"/>
  <c r="H143" i="15"/>
  <c r="G143" i="15"/>
  <c r="F143" i="15"/>
  <c r="E143" i="15"/>
  <c r="D143" i="15"/>
  <c r="C143" i="15"/>
  <c r="N142" i="15"/>
  <c r="M142" i="15"/>
  <c r="L142" i="15"/>
  <c r="K142" i="15"/>
  <c r="J142" i="15"/>
  <c r="I142" i="15"/>
  <c r="H142" i="15"/>
  <c r="G142" i="15"/>
  <c r="F142" i="15"/>
  <c r="E142" i="15"/>
  <c r="D142" i="15"/>
  <c r="C142" i="15"/>
  <c r="N141" i="15"/>
  <c r="M141" i="15"/>
  <c r="L141" i="15"/>
  <c r="K141" i="15"/>
  <c r="J141" i="15"/>
  <c r="I141" i="15"/>
  <c r="H141" i="15"/>
  <c r="G141" i="15"/>
  <c r="F141" i="15"/>
  <c r="E141" i="15"/>
  <c r="D141" i="15"/>
  <c r="C141" i="15"/>
  <c r="N140" i="15"/>
  <c r="M140" i="15"/>
  <c r="L140" i="15"/>
  <c r="K140" i="15"/>
  <c r="J140" i="15"/>
  <c r="I140" i="15"/>
  <c r="H140" i="15"/>
  <c r="G140" i="15"/>
  <c r="F140" i="15"/>
  <c r="E140" i="15"/>
  <c r="D140" i="15"/>
  <c r="C140" i="15"/>
  <c r="N139" i="15"/>
  <c r="M139" i="15"/>
  <c r="L139" i="15"/>
  <c r="K139" i="15"/>
  <c r="J139" i="15"/>
  <c r="I139" i="15"/>
  <c r="H139" i="15"/>
  <c r="G139" i="15"/>
  <c r="F139" i="15"/>
  <c r="E139" i="15"/>
  <c r="D139" i="15"/>
  <c r="C139" i="15"/>
  <c r="N138" i="15"/>
  <c r="M138" i="15"/>
  <c r="L138" i="15"/>
  <c r="K138" i="15"/>
  <c r="J138" i="15"/>
  <c r="I138" i="15"/>
  <c r="H138" i="15"/>
  <c r="G138" i="15"/>
  <c r="F138" i="15"/>
  <c r="E138" i="15"/>
  <c r="D138" i="15"/>
  <c r="C138" i="15"/>
  <c r="N137" i="15"/>
  <c r="M137" i="15"/>
  <c r="L137" i="15"/>
  <c r="K137" i="15"/>
  <c r="J137" i="15"/>
  <c r="I137" i="15"/>
  <c r="H137" i="15"/>
  <c r="G137" i="15"/>
  <c r="F137" i="15"/>
  <c r="E137" i="15"/>
  <c r="D137" i="15"/>
  <c r="C137" i="15"/>
  <c r="N136" i="15"/>
  <c r="M136" i="15"/>
  <c r="L136" i="15"/>
  <c r="K136" i="15"/>
  <c r="J136" i="15"/>
  <c r="I136" i="15"/>
  <c r="H136" i="15"/>
  <c r="G136" i="15"/>
  <c r="F136" i="15"/>
  <c r="E136" i="15"/>
  <c r="D136" i="15"/>
  <c r="C136" i="15"/>
  <c r="N135" i="15"/>
  <c r="M135" i="15"/>
  <c r="L135" i="15"/>
  <c r="K135" i="15"/>
  <c r="J135" i="15"/>
  <c r="I135" i="15"/>
  <c r="H135" i="15"/>
  <c r="G135" i="15"/>
  <c r="F135" i="15"/>
  <c r="E135" i="15"/>
  <c r="D135" i="15"/>
  <c r="C135" i="15"/>
  <c r="N134" i="15"/>
  <c r="M134" i="15"/>
  <c r="L134" i="15"/>
  <c r="K134" i="15"/>
  <c r="J134" i="15"/>
  <c r="I134" i="15"/>
  <c r="H134" i="15"/>
  <c r="G134" i="15"/>
  <c r="F134" i="15"/>
  <c r="E134" i="15"/>
  <c r="D134" i="15"/>
  <c r="C134" i="15"/>
  <c r="N133" i="15"/>
  <c r="M133" i="15"/>
  <c r="L133" i="15"/>
  <c r="K133" i="15"/>
  <c r="J133" i="15"/>
  <c r="I133" i="15"/>
  <c r="H133" i="15"/>
  <c r="G133" i="15"/>
  <c r="F133" i="15"/>
  <c r="E133" i="15"/>
  <c r="D133" i="15"/>
  <c r="C133" i="15"/>
  <c r="N132" i="15"/>
  <c r="M132" i="15"/>
  <c r="L132" i="15"/>
  <c r="K132" i="15"/>
  <c r="J132" i="15"/>
  <c r="I132" i="15"/>
  <c r="H132" i="15"/>
  <c r="G132" i="15"/>
  <c r="F132" i="15"/>
  <c r="E132" i="15"/>
  <c r="D132" i="15"/>
  <c r="C132" i="15"/>
  <c r="N131" i="15"/>
  <c r="M131" i="15"/>
  <c r="L131" i="15"/>
  <c r="K131" i="15"/>
  <c r="J131" i="15"/>
  <c r="I131" i="15"/>
  <c r="H131" i="15"/>
  <c r="G131" i="15"/>
  <c r="F131" i="15"/>
  <c r="E131" i="15"/>
  <c r="D131" i="15"/>
  <c r="C131" i="15"/>
  <c r="N130" i="15"/>
  <c r="M130" i="15"/>
  <c r="L130" i="15"/>
  <c r="K130" i="15"/>
  <c r="J130" i="15"/>
  <c r="I130" i="15"/>
  <c r="H130" i="15"/>
  <c r="G130" i="15"/>
  <c r="F130" i="15"/>
  <c r="E130" i="15"/>
  <c r="D130" i="15"/>
  <c r="C130" i="15"/>
  <c r="N129" i="15"/>
  <c r="M129" i="15"/>
  <c r="L129" i="15"/>
  <c r="K129" i="15"/>
  <c r="J129" i="15"/>
  <c r="I129" i="15"/>
  <c r="H129" i="15"/>
  <c r="G129" i="15"/>
  <c r="F129" i="15"/>
  <c r="E129" i="15"/>
  <c r="D129" i="15"/>
  <c r="C129" i="15"/>
  <c r="N128" i="15"/>
  <c r="M128" i="15"/>
  <c r="L128" i="15"/>
  <c r="K128" i="15"/>
  <c r="J128" i="15"/>
  <c r="I128" i="15"/>
  <c r="H128" i="15"/>
  <c r="G128" i="15"/>
  <c r="F128" i="15"/>
  <c r="E128" i="15"/>
  <c r="D128" i="15"/>
  <c r="C128" i="15"/>
  <c r="N127" i="15"/>
  <c r="M127" i="15"/>
  <c r="L127" i="15"/>
  <c r="K127" i="15"/>
  <c r="J127" i="15"/>
  <c r="I127" i="15"/>
  <c r="H127" i="15"/>
  <c r="G127" i="15"/>
  <c r="F127" i="15"/>
  <c r="E127" i="15"/>
  <c r="D127" i="15"/>
  <c r="C127" i="15"/>
  <c r="N126" i="15"/>
  <c r="M126" i="15"/>
  <c r="L126" i="15"/>
  <c r="K126" i="15"/>
  <c r="J126" i="15"/>
  <c r="I126" i="15"/>
  <c r="H126" i="15"/>
  <c r="G126" i="15"/>
  <c r="F126" i="15"/>
  <c r="E126" i="15"/>
  <c r="D126" i="15"/>
  <c r="C126" i="15"/>
  <c r="N125" i="15"/>
  <c r="M125" i="15"/>
  <c r="L125" i="15"/>
  <c r="K125" i="15"/>
  <c r="J125" i="15"/>
  <c r="I125" i="15"/>
  <c r="H125" i="15"/>
  <c r="G125" i="15"/>
  <c r="F125" i="15"/>
  <c r="E125" i="15"/>
  <c r="D125" i="15"/>
  <c r="C125" i="15"/>
  <c r="N124" i="15"/>
  <c r="M124" i="15"/>
  <c r="L124" i="15"/>
  <c r="K124" i="15"/>
  <c r="J124" i="15"/>
  <c r="I124" i="15"/>
  <c r="H124" i="15"/>
  <c r="G124" i="15"/>
  <c r="F124" i="15"/>
  <c r="E124" i="15"/>
  <c r="D124" i="15"/>
  <c r="C124" i="15"/>
  <c r="N123" i="15"/>
  <c r="M123" i="15"/>
  <c r="L123" i="15"/>
  <c r="K123" i="15"/>
  <c r="J123" i="15"/>
  <c r="I123" i="15"/>
  <c r="H123" i="15"/>
  <c r="G123" i="15"/>
  <c r="F123" i="15"/>
  <c r="E123" i="15"/>
  <c r="D123" i="15"/>
  <c r="C123" i="15"/>
  <c r="N122" i="15"/>
  <c r="M122" i="15"/>
  <c r="L122" i="15"/>
  <c r="K122" i="15"/>
  <c r="J122" i="15"/>
  <c r="I122" i="15"/>
  <c r="H122" i="15"/>
  <c r="G122" i="15"/>
  <c r="F122" i="15"/>
  <c r="E122" i="15"/>
  <c r="D122" i="15"/>
  <c r="C122" i="15"/>
  <c r="N121" i="15"/>
  <c r="M121" i="15"/>
  <c r="L121" i="15"/>
  <c r="K121" i="15"/>
  <c r="J121" i="15"/>
  <c r="I121" i="15"/>
  <c r="H121" i="15"/>
  <c r="G121" i="15"/>
  <c r="F121" i="15"/>
  <c r="E121" i="15"/>
  <c r="D121" i="15"/>
  <c r="C121" i="15"/>
  <c r="N120" i="15"/>
  <c r="M120" i="15"/>
  <c r="L120" i="15"/>
  <c r="K120" i="15"/>
  <c r="J120" i="15"/>
  <c r="I120" i="15"/>
  <c r="H120" i="15"/>
  <c r="G120" i="15"/>
  <c r="F120" i="15"/>
  <c r="E120" i="15"/>
  <c r="D120" i="15"/>
  <c r="C120" i="15"/>
  <c r="N119" i="15"/>
  <c r="M119" i="15"/>
  <c r="L119" i="15"/>
  <c r="K119" i="15"/>
  <c r="J119" i="15"/>
  <c r="I119" i="15"/>
  <c r="H119" i="15"/>
  <c r="G119" i="15"/>
  <c r="F119" i="15"/>
  <c r="E119" i="15"/>
  <c r="D119" i="15"/>
  <c r="C119" i="15"/>
  <c r="N118" i="15"/>
  <c r="M118" i="15"/>
  <c r="L118" i="15"/>
  <c r="K118" i="15"/>
  <c r="J118" i="15"/>
  <c r="I118" i="15"/>
  <c r="H118" i="15"/>
  <c r="G118" i="15"/>
  <c r="F118" i="15"/>
  <c r="E118" i="15"/>
  <c r="D118" i="15"/>
  <c r="C118" i="15"/>
  <c r="N117" i="15"/>
  <c r="M117" i="15"/>
  <c r="L117" i="15"/>
  <c r="K117" i="15"/>
  <c r="J117" i="15"/>
  <c r="I117" i="15"/>
  <c r="H117" i="15"/>
  <c r="G117" i="15"/>
  <c r="F117" i="15"/>
  <c r="E117" i="15"/>
  <c r="D117" i="15"/>
  <c r="C117" i="15"/>
  <c r="N116" i="15"/>
  <c r="M116" i="15"/>
  <c r="L116" i="15"/>
  <c r="K116" i="15"/>
  <c r="J116" i="15"/>
  <c r="I116" i="15"/>
  <c r="H116" i="15"/>
  <c r="G116" i="15"/>
  <c r="F116" i="15"/>
  <c r="E116" i="15"/>
  <c r="D116" i="15"/>
  <c r="C116" i="15"/>
  <c r="N115" i="15"/>
  <c r="M115" i="15"/>
  <c r="L115" i="15"/>
  <c r="K115" i="15"/>
  <c r="J115" i="15"/>
  <c r="I115" i="15"/>
  <c r="H115" i="15"/>
  <c r="G115" i="15"/>
  <c r="F115" i="15"/>
  <c r="E115" i="15"/>
  <c r="D115" i="15"/>
  <c r="C115" i="15"/>
  <c r="N114" i="15"/>
  <c r="M114" i="15"/>
  <c r="L114" i="15"/>
  <c r="K114" i="15"/>
  <c r="J114" i="15"/>
  <c r="I114" i="15"/>
  <c r="H114" i="15"/>
  <c r="G114" i="15"/>
  <c r="F114" i="15"/>
  <c r="E114" i="15"/>
  <c r="D114" i="15"/>
  <c r="C114" i="15"/>
  <c r="N113" i="15"/>
  <c r="M113" i="15"/>
  <c r="L113" i="15"/>
  <c r="K113" i="15"/>
  <c r="J113" i="15"/>
  <c r="I113" i="15"/>
  <c r="H113" i="15"/>
  <c r="G113" i="15"/>
  <c r="F113" i="15"/>
  <c r="E113" i="15"/>
  <c r="D113" i="15"/>
  <c r="C113" i="15"/>
  <c r="N112" i="15"/>
  <c r="M112" i="15"/>
  <c r="L112" i="15"/>
  <c r="K112" i="15"/>
  <c r="J112" i="15"/>
  <c r="I112" i="15"/>
  <c r="H112" i="15"/>
  <c r="G112" i="15"/>
  <c r="F112" i="15"/>
  <c r="E112" i="15"/>
  <c r="D112" i="15"/>
  <c r="C112" i="15"/>
  <c r="N111" i="15"/>
  <c r="M111" i="15"/>
  <c r="L111" i="15"/>
  <c r="K111" i="15"/>
  <c r="J111" i="15"/>
  <c r="I111" i="15"/>
  <c r="H111" i="15"/>
  <c r="G111" i="15"/>
  <c r="F111" i="15"/>
  <c r="E111" i="15"/>
  <c r="D111" i="15"/>
  <c r="C111" i="15"/>
  <c r="N110" i="15"/>
  <c r="M110" i="15"/>
  <c r="L110" i="15"/>
  <c r="K110" i="15"/>
  <c r="J110" i="15"/>
  <c r="I110" i="15"/>
  <c r="H110" i="15"/>
  <c r="G110" i="15"/>
  <c r="F110" i="15"/>
  <c r="E110" i="15"/>
  <c r="D110" i="15"/>
  <c r="C110" i="15"/>
  <c r="N109" i="15"/>
  <c r="M109" i="15"/>
  <c r="L109" i="15"/>
  <c r="K109" i="15"/>
  <c r="J109" i="15"/>
  <c r="I109" i="15"/>
  <c r="H109" i="15"/>
  <c r="G109" i="15"/>
  <c r="F109" i="15"/>
  <c r="E109" i="15"/>
  <c r="D109" i="15"/>
  <c r="C109" i="15"/>
  <c r="N108" i="15"/>
  <c r="M108" i="15"/>
  <c r="L108" i="15"/>
  <c r="K108" i="15"/>
  <c r="J108" i="15"/>
  <c r="I108" i="15"/>
  <c r="H108" i="15"/>
  <c r="G108" i="15"/>
  <c r="F108" i="15"/>
  <c r="E108" i="15"/>
  <c r="D108" i="15"/>
  <c r="C108" i="15"/>
  <c r="N107" i="15"/>
  <c r="M107" i="15"/>
  <c r="L107" i="15"/>
  <c r="K107" i="15"/>
  <c r="J107" i="15"/>
  <c r="I107" i="15"/>
  <c r="H107" i="15"/>
  <c r="G107" i="15"/>
  <c r="F107" i="15"/>
  <c r="E107" i="15"/>
  <c r="D107" i="15"/>
  <c r="C107" i="15"/>
  <c r="N106" i="15"/>
  <c r="M106" i="15"/>
  <c r="L106" i="15"/>
  <c r="K106" i="15"/>
  <c r="J106" i="15"/>
  <c r="I106" i="15"/>
  <c r="H106" i="15"/>
  <c r="G106" i="15"/>
  <c r="F106" i="15"/>
  <c r="E106" i="15"/>
  <c r="D106" i="15"/>
  <c r="C106" i="15"/>
  <c r="N105" i="15"/>
  <c r="M105" i="15"/>
  <c r="L105" i="15"/>
  <c r="K105" i="15"/>
  <c r="J105" i="15"/>
  <c r="I105" i="15"/>
  <c r="H105" i="15"/>
  <c r="G105" i="15"/>
  <c r="F105" i="15"/>
  <c r="E105" i="15"/>
  <c r="D105" i="15"/>
  <c r="C105" i="15"/>
  <c r="N104" i="15"/>
  <c r="M104" i="15"/>
  <c r="L104" i="15"/>
  <c r="K104" i="15"/>
  <c r="J104" i="15"/>
  <c r="I104" i="15"/>
  <c r="H104" i="15"/>
  <c r="G104" i="15"/>
  <c r="F104" i="15"/>
  <c r="E104" i="15"/>
  <c r="D104" i="15"/>
  <c r="C104" i="15"/>
  <c r="N103" i="15"/>
  <c r="M103" i="15"/>
  <c r="L103" i="15"/>
  <c r="K103" i="15"/>
  <c r="J103" i="15"/>
  <c r="I103" i="15"/>
  <c r="H103" i="15"/>
  <c r="G103" i="15"/>
  <c r="F103" i="15"/>
  <c r="E103" i="15"/>
  <c r="D103" i="15"/>
  <c r="C103" i="15"/>
  <c r="N102" i="15"/>
  <c r="M102" i="15"/>
  <c r="L102" i="15"/>
  <c r="K102" i="15"/>
  <c r="J102" i="15"/>
  <c r="I102" i="15"/>
  <c r="H102" i="15"/>
  <c r="G102" i="15"/>
  <c r="F102" i="15"/>
  <c r="E102" i="15"/>
  <c r="D102" i="15"/>
  <c r="C102" i="15"/>
  <c r="N101" i="15"/>
  <c r="M101" i="15"/>
  <c r="L101" i="15"/>
  <c r="K101" i="15"/>
  <c r="J101" i="15"/>
  <c r="I101" i="15"/>
  <c r="H101" i="15"/>
  <c r="G101" i="15"/>
  <c r="F101" i="15"/>
  <c r="E101" i="15"/>
  <c r="D101" i="15"/>
  <c r="C101" i="15"/>
  <c r="N100" i="15"/>
  <c r="M100" i="15"/>
  <c r="L100" i="15"/>
  <c r="K100" i="15"/>
  <c r="J100" i="15"/>
  <c r="I100" i="15"/>
  <c r="H100" i="15"/>
  <c r="G100" i="15"/>
  <c r="F100" i="15"/>
  <c r="E100" i="15"/>
  <c r="D100" i="15"/>
  <c r="C100" i="15"/>
  <c r="N99" i="15"/>
  <c r="M99" i="15"/>
  <c r="L99" i="15"/>
  <c r="K99" i="15"/>
  <c r="J99" i="15"/>
  <c r="I99" i="15"/>
  <c r="H99" i="15"/>
  <c r="G99" i="15"/>
  <c r="F99" i="15"/>
  <c r="E99" i="15"/>
  <c r="D99" i="15"/>
  <c r="C99" i="15"/>
  <c r="N98" i="15"/>
  <c r="M98" i="15"/>
  <c r="L98" i="15"/>
  <c r="K98" i="15"/>
  <c r="J98" i="15"/>
  <c r="I98" i="15"/>
  <c r="H98" i="15"/>
  <c r="G98" i="15"/>
  <c r="F98" i="15"/>
  <c r="E98" i="15"/>
  <c r="D98" i="15"/>
  <c r="C98" i="15"/>
  <c r="N97" i="15"/>
  <c r="M97" i="15"/>
  <c r="L97" i="15"/>
  <c r="K97" i="15"/>
  <c r="J97" i="15"/>
  <c r="I97" i="15"/>
  <c r="H97" i="15"/>
  <c r="G97" i="15"/>
  <c r="F97" i="15"/>
  <c r="E97" i="15"/>
  <c r="D97" i="15"/>
  <c r="C97" i="15"/>
  <c r="N96" i="15"/>
  <c r="M96" i="15"/>
  <c r="L96" i="15"/>
  <c r="K96" i="15"/>
  <c r="J96" i="15"/>
  <c r="I96" i="15"/>
  <c r="H96" i="15"/>
  <c r="G96" i="15"/>
  <c r="F96" i="15"/>
  <c r="E96" i="15"/>
  <c r="D96" i="15"/>
  <c r="C96" i="15"/>
  <c r="N95" i="15"/>
  <c r="M95" i="15"/>
  <c r="L95" i="15"/>
  <c r="K95" i="15"/>
  <c r="J95" i="15"/>
  <c r="I95" i="15"/>
  <c r="H95" i="15"/>
  <c r="G95" i="15"/>
  <c r="F95" i="15"/>
  <c r="E95" i="15"/>
  <c r="D95" i="15"/>
  <c r="C95" i="15"/>
  <c r="N94" i="15"/>
  <c r="M94" i="15"/>
  <c r="L94" i="15"/>
  <c r="K94" i="15"/>
  <c r="J94" i="15"/>
  <c r="I94" i="15"/>
  <c r="H94" i="15"/>
  <c r="G94" i="15"/>
  <c r="F94" i="15"/>
  <c r="E94" i="15"/>
  <c r="D94" i="15"/>
  <c r="C94" i="15"/>
  <c r="N93" i="15"/>
  <c r="M93" i="15"/>
  <c r="L93" i="15"/>
  <c r="K93" i="15"/>
  <c r="J93" i="15"/>
  <c r="I93" i="15"/>
  <c r="H93" i="15"/>
  <c r="G93" i="15"/>
  <c r="F93" i="15"/>
  <c r="E93" i="15"/>
  <c r="D93" i="15"/>
  <c r="C93" i="15"/>
  <c r="N92" i="15"/>
  <c r="M92" i="15"/>
  <c r="L92" i="15"/>
  <c r="K92" i="15"/>
  <c r="J92" i="15"/>
  <c r="I92" i="15"/>
  <c r="H92" i="15"/>
  <c r="G92" i="15"/>
  <c r="F92" i="15"/>
  <c r="E92" i="15"/>
  <c r="D92" i="15"/>
  <c r="C92" i="15"/>
  <c r="N91" i="15"/>
  <c r="M91" i="15"/>
  <c r="L91" i="15"/>
  <c r="K91" i="15"/>
  <c r="J91" i="15"/>
  <c r="I91" i="15"/>
  <c r="H91" i="15"/>
  <c r="G91" i="15"/>
  <c r="F91" i="15"/>
  <c r="E91" i="15"/>
  <c r="D91" i="15"/>
  <c r="C91" i="15"/>
  <c r="N90" i="15"/>
  <c r="M90" i="15"/>
  <c r="L90" i="15"/>
  <c r="K90" i="15"/>
  <c r="J90" i="15"/>
  <c r="I90" i="15"/>
  <c r="H90" i="15"/>
  <c r="G90" i="15"/>
  <c r="F90" i="15"/>
  <c r="E90" i="15"/>
  <c r="D90" i="15"/>
  <c r="C90" i="15"/>
  <c r="N89" i="15"/>
  <c r="M89" i="15"/>
  <c r="L89" i="15"/>
  <c r="K89" i="15"/>
  <c r="J89" i="15"/>
  <c r="I89" i="15"/>
  <c r="H89" i="15"/>
  <c r="G89" i="15"/>
  <c r="F89" i="15"/>
  <c r="E89" i="15"/>
  <c r="D89" i="15"/>
  <c r="C89" i="15"/>
  <c r="N88" i="15"/>
  <c r="M88" i="15"/>
  <c r="L88" i="15"/>
  <c r="K88" i="15"/>
  <c r="J88" i="15"/>
  <c r="I88" i="15"/>
  <c r="H88" i="15"/>
  <c r="G88" i="15"/>
  <c r="F88" i="15"/>
  <c r="E88" i="15"/>
  <c r="D88" i="15"/>
  <c r="C88" i="15"/>
  <c r="N87" i="15"/>
  <c r="M87" i="15"/>
  <c r="L87" i="15"/>
  <c r="K87" i="15"/>
  <c r="J87" i="15"/>
  <c r="I87" i="15"/>
  <c r="H87" i="15"/>
  <c r="G87" i="15"/>
  <c r="F87" i="15"/>
  <c r="E87" i="15"/>
  <c r="D87" i="15"/>
  <c r="C87" i="15"/>
  <c r="N86" i="15"/>
  <c r="M86" i="15"/>
  <c r="L86" i="15"/>
  <c r="K86" i="15"/>
  <c r="J86" i="15"/>
  <c r="I86" i="15"/>
  <c r="H86" i="15"/>
  <c r="G86" i="15"/>
  <c r="F86" i="15"/>
  <c r="E86" i="15"/>
  <c r="D86" i="15"/>
  <c r="C86" i="15"/>
  <c r="N85" i="15"/>
  <c r="M85" i="15"/>
  <c r="L85" i="15"/>
  <c r="K85" i="15"/>
  <c r="J85" i="15"/>
  <c r="I85" i="15"/>
  <c r="H85" i="15"/>
  <c r="G85" i="15"/>
  <c r="F85" i="15"/>
  <c r="E85" i="15"/>
  <c r="D85" i="15"/>
  <c r="C85" i="15"/>
  <c r="N84" i="15"/>
  <c r="M84" i="15"/>
  <c r="L84" i="15"/>
  <c r="K84" i="15"/>
  <c r="J84" i="15"/>
  <c r="I84" i="15"/>
  <c r="H84" i="15"/>
  <c r="G84" i="15"/>
  <c r="F84" i="15"/>
  <c r="E84" i="15"/>
  <c r="D84" i="15"/>
  <c r="C84" i="15"/>
  <c r="N83" i="15"/>
  <c r="M83" i="15"/>
  <c r="L83" i="15"/>
  <c r="K83" i="15"/>
  <c r="J83" i="15"/>
  <c r="I83" i="15"/>
  <c r="H83" i="15"/>
  <c r="G83" i="15"/>
  <c r="F83" i="15"/>
  <c r="E83" i="15"/>
  <c r="D83" i="15"/>
  <c r="C83" i="15"/>
  <c r="N82" i="15"/>
  <c r="M82" i="15"/>
  <c r="L82" i="15"/>
  <c r="K82" i="15"/>
  <c r="J82" i="15"/>
  <c r="I82" i="15"/>
  <c r="H82" i="15"/>
  <c r="G82" i="15"/>
  <c r="F82" i="15"/>
  <c r="E82" i="15"/>
  <c r="D82" i="15"/>
  <c r="C82" i="15"/>
  <c r="N81" i="15"/>
  <c r="M81" i="15"/>
  <c r="L81" i="15"/>
  <c r="K81" i="15"/>
  <c r="J81" i="15"/>
  <c r="I81" i="15"/>
  <c r="H81" i="15"/>
  <c r="G81" i="15"/>
  <c r="F81" i="15"/>
  <c r="E81" i="15"/>
  <c r="D81" i="15"/>
  <c r="C81" i="15"/>
  <c r="N80" i="15"/>
  <c r="M80" i="15"/>
  <c r="L80" i="15"/>
  <c r="K80" i="15"/>
  <c r="J80" i="15"/>
  <c r="I80" i="15"/>
  <c r="H80" i="15"/>
  <c r="G80" i="15"/>
  <c r="F80" i="15"/>
  <c r="E80" i="15"/>
  <c r="D80" i="15"/>
  <c r="C80" i="15"/>
  <c r="N79" i="15"/>
  <c r="M79" i="15"/>
  <c r="L79" i="15"/>
  <c r="K79" i="15"/>
  <c r="J79" i="15"/>
  <c r="I79" i="15"/>
  <c r="H79" i="15"/>
  <c r="G79" i="15"/>
  <c r="F79" i="15"/>
  <c r="E79" i="15"/>
  <c r="D79" i="15"/>
  <c r="C79" i="15"/>
  <c r="N78" i="15"/>
  <c r="M78" i="15"/>
  <c r="L78" i="15"/>
  <c r="K78" i="15"/>
  <c r="J78" i="15"/>
  <c r="I78" i="15"/>
  <c r="H78" i="15"/>
  <c r="G78" i="15"/>
  <c r="F78" i="15"/>
  <c r="E78" i="15"/>
  <c r="D78" i="15"/>
  <c r="C78" i="15"/>
  <c r="N77" i="15"/>
  <c r="M77" i="15"/>
  <c r="L77" i="15"/>
  <c r="K77" i="15"/>
  <c r="J77" i="15"/>
  <c r="I77" i="15"/>
  <c r="H77" i="15"/>
  <c r="G77" i="15"/>
  <c r="F77" i="15"/>
  <c r="E77" i="15"/>
  <c r="D77" i="15"/>
  <c r="C77" i="15"/>
  <c r="N76" i="15"/>
  <c r="M76" i="15"/>
  <c r="L76" i="15"/>
  <c r="K76" i="15"/>
  <c r="J76" i="15"/>
  <c r="I76" i="15"/>
  <c r="H76" i="15"/>
  <c r="G76" i="15"/>
  <c r="F76" i="15"/>
  <c r="E76" i="15"/>
  <c r="D76" i="15"/>
  <c r="C76" i="15"/>
  <c r="N75" i="15"/>
  <c r="M75" i="15"/>
  <c r="L75" i="15"/>
  <c r="K75" i="15"/>
  <c r="J75" i="15"/>
  <c r="I75" i="15"/>
  <c r="H75" i="15"/>
  <c r="G75" i="15"/>
  <c r="F75" i="15"/>
  <c r="E75" i="15"/>
  <c r="D75" i="15"/>
  <c r="C75" i="15"/>
  <c r="N74" i="15"/>
  <c r="M74" i="15"/>
  <c r="L74" i="15"/>
  <c r="K74" i="15"/>
  <c r="J74" i="15"/>
  <c r="I74" i="15"/>
  <c r="H74" i="15"/>
  <c r="G74" i="15"/>
  <c r="F74" i="15"/>
  <c r="E74" i="15"/>
  <c r="D74" i="15"/>
  <c r="C74" i="15"/>
  <c r="N73" i="15"/>
  <c r="M73" i="15"/>
  <c r="L73" i="15"/>
  <c r="K73" i="15"/>
  <c r="J73" i="15"/>
  <c r="I73" i="15"/>
  <c r="H73" i="15"/>
  <c r="G73" i="15"/>
  <c r="F73" i="15"/>
  <c r="E73" i="15"/>
  <c r="D73" i="15"/>
  <c r="C73" i="15"/>
  <c r="N72" i="15"/>
  <c r="M72" i="15"/>
  <c r="L72" i="15"/>
  <c r="K72" i="15"/>
  <c r="J72" i="15"/>
  <c r="I72" i="15"/>
  <c r="H72" i="15"/>
  <c r="G72" i="15"/>
  <c r="F72" i="15"/>
  <c r="E72" i="15"/>
  <c r="D72" i="15"/>
  <c r="C72" i="15"/>
  <c r="N71" i="15"/>
  <c r="M71" i="15"/>
  <c r="L71" i="15"/>
  <c r="K71" i="15"/>
  <c r="J71" i="15"/>
  <c r="I71" i="15"/>
  <c r="H71" i="15"/>
  <c r="G71" i="15"/>
  <c r="F71" i="15"/>
  <c r="E71" i="15"/>
  <c r="D71" i="15"/>
  <c r="C71" i="15"/>
  <c r="N70" i="15"/>
  <c r="M70" i="15"/>
  <c r="L70" i="15"/>
  <c r="K70" i="15"/>
  <c r="J70" i="15"/>
  <c r="I70" i="15"/>
  <c r="H70" i="15"/>
  <c r="G70" i="15"/>
  <c r="F70" i="15"/>
  <c r="E70" i="15"/>
  <c r="D70" i="15"/>
  <c r="C70" i="15"/>
  <c r="N69" i="15"/>
  <c r="M69" i="15"/>
  <c r="L69" i="15"/>
  <c r="K69" i="15"/>
  <c r="J69" i="15"/>
  <c r="I69" i="15"/>
  <c r="H69" i="15"/>
  <c r="G69" i="15"/>
  <c r="F69" i="15"/>
  <c r="E69" i="15"/>
  <c r="D69" i="15"/>
  <c r="C69" i="15"/>
  <c r="N68" i="15"/>
  <c r="M68" i="15"/>
  <c r="L68" i="15"/>
  <c r="K68" i="15"/>
  <c r="J68" i="15"/>
  <c r="I68" i="15"/>
  <c r="H68" i="15"/>
  <c r="G68" i="15"/>
  <c r="F68" i="15"/>
  <c r="E68" i="15"/>
  <c r="D68" i="15"/>
  <c r="C68" i="15"/>
  <c r="N67" i="15"/>
  <c r="M67" i="15"/>
  <c r="L67" i="15"/>
  <c r="K67" i="15"/>
  <c r="J67" i="15"/>
  <c r="I67" i="15"/>
  <c r="H67" i="15"/>
  <c r="G67" i="15"/>
  <c r="F67" i="15"/>
  <c r="E67" i="15"/>
  <c r="D67" i="15"/>
  <c r="C67" i="15"/>
  <c r="N66" i="15"/>
  <c r="M66" i="15"/>
  <c r="L66" i="15"/>
  <c r="K66" i="15"/>
  <c r="J66" i="15"/>
  <c r="I66" i="15"/>
  <c r="H66" i="15"/>
  <c r="G66" i="15"/>
  <c r="F66" i="15"/>
  <c r="E66" i="15"/>
  <c r="D66" i="15"/>
  <c r="C66" i="15"/>
  <c r="N65" i="15"/>
  <c r="M65" i="15"/>
  <c r="L65" i="15"/>
  <c r="K65" i="15"/>
  <c r="J65" i="15"/>
  <c r="I65" i="15"/>
  <c r="H65" i="15"/>
  <c r="G65" i="15"/>
  <c r="F65" i="15"/>
  <c r="E65" i="15"/>
  <c r="D65" i="15"/>
  <c r="C65" i="15"/>
  <c r="N64" i="15"/>
  <c r="M64" i="15"/>
  <c r="L64" i="15"/>
  <c r="K64" i="15"/>
  <c r="J64" i="15"/>
  <c r="I64" i="15"/>
  <c r="H64" i="15"/>
  <c r="G64" i="15"/>
  <c r="F64" i="15"/>
  <c r="E64" i="15"/>
  <c r="D64" i="15"/>
  <c r="C64" i="15"/>
  <c r="N63" i="15"/>
  <c r="M63" i="15"/>
  <c r="L63" i="15"/>
  <c r="K63" i="15"/>
  <c r="J63" i="15"/>
  <c r="I63" i="15"/>
  <c r="H63" i="15"/>
  <c r="G63" i="15"/>
  <c r="F63" i="15"/>
  <c r="E63" i="15"/>
  <c r="D63" i="15"/>
  <c r="C63" i="15"/>
  <c r="N62" i="15"/>
  <c r="M62" i="15"/>
  <c r="L62" i="15"/>
  <c r="K62" i="15"/>
  <c r="J62" i="15"/>
  <c r="I62" i="15"/>
  <c r="H62" i="15"/>
  <c r="G62" i="15"/>
  <c r="F62" i="15"/>
  <c r="E62" i="15"/>
  <c r="D62" i="15"/>
  <c r="C62" i="15"/>
  <c r="N61" i="15"/>
  <c r="M61" i="15"/>
  <c r="L61" i="15"/>
  <c r="K61" i="15"/>
  <c r="J61" i="15"/>
  <c r="I61" i="15"/>
  <c r="H61" i="15"/>
  <c r="G61" i="15"/>
  <c r="F61" i="15"/>
  <c r="E61" i="15"/>
  <c r="D61" i="15"/>
  <c r="C61" i="15"/>
  <c r="N60" i="15"/>
  <c r="M60" i="15"/>
  <c r="L60" i="15"/>
  <c r="K60" i="15"/>
  <c r="J60" i="15"/>
  <c r="I60" i="15"/>
  <c r="H60" i="15"/>
  <c r="G60" i="15"/>
  <c r="F60" i="15"/>
  <c r="E60" i="15"/>
  <c r="D60" i="15"/>
  <c r="C60" i="15"/>
  <c r="N59" i="15"/>
  <c r="M59" i="15"/>
  <c r="L59" i="15"/>
  <c r="K59" i="15"/>
  <c r="J59" i="15"/>
  <c r="I59" i="15"/>
  <c r="H59" i="15"/>
  <c r="G59" i="15"/>
  <c r="F59" i="15"/>
  <c r="E59" i="15"/>
  <c r="D59" i="15"/>
  <c r="C59" i="15"/>
  <c r="N58" i="15"/>
  <c r="M58" i="15"/>
  <c r="L58" i="15"/>
  <c r="K58" i="15"/>
  <c r="J58" i="15"/>
  <c r="I58" i="15"/>
  <c r="H58" i="15"/>
  <c r="G58" i="15"/>
  <c r="F58" i="15"/>
  <c r="E58" i="15"/>
  <c r="D58" i="15"/>
  <c r="C58" i="15"/>
  <c r="N57" i="15"/>
  <c r="M57" i="15"/>
  <c r="L57" i="15"/>
  <c r="K57" i="15"/>
  <c r="J57" i="15"/>
  <c r="I57" i="15"/>
  <c r="H57" i="15"/>
  <c r="G57" i="15"/>
  <c r="F57" i="15"/>
  <c r="E57" i="15"/>
  <c r="D57" i="15"/>
  <c r="C57" i="15"/>
  <c r="N56" i="15"/>
  <c r="M56" i="15"/>
  <c r="L56" i="15"/>
  <c r="K56" i="15"/>
  <c r="J56" i="15"/>
  <c r="I56" i="15"/>
  <c r="H56" i="15"/>
  <c r="G56" i="15"/>
  <c r="F56" i="15"/>
  <c r="E56" i="15"/>
  <c r="D56" i="15"/>
  <c r="C56" i="15"/>
  <c r="N55" i="15"/>
  <c r="M55" i="15"/>
  <c r="L55" i="15"/>
  <c r="K55" i="15"/>
  <c r="J55" i="15"/>
  <c r="I55" i="15"/>
  <c r="H55" i="15"/>
  <c r="G55" i="15"/>
  <c r="F55" i="15"/>
  <c r="E55" i="15"/>
  <c r="D55" i="15"/>
  <c r="C55" i="15"/>
  <c r="N54" i="15"/>
  <c r="M54" i="15"/>
  <c r="L54" i="15"/>
  <c r="K54" i="15"/>
  <c r="J54" i="15"/>
  <c r="I54" i="15"/>
  <c r="H54" i="15"/>
  <c r="G54" i="15"/>
  <c r="F54" i="15"/>
  <c r="E54" i="15"/>
  <c r="D54" i="15"/>
  <c r="C54" i="15"/>
  <c r="N53" i="15"/>
  <c r="M53" i="15"/>
  <c r="L53" i="15"/>
  <c r="K53" i="15"/>
  <c r="J53" i="15"/>
  <c r="I53" i="15"/>
  <c r="H53" i="15"/>
  <c r="G53" i="15"/>
  <c r="F53" i="15"/>
  <c r="E53" i="15"/>
  <c r="D53" i="15"/>
  <c r="C53" i="15"/>
  <c r="N52" i="15"/>
  <c r="M52" i="15"/>
  <c r="L52" i="15"/>
  <c r="K52" i="15"/>
  <c r="J52" i="15"/>
  <c r="I52" i="15"/>
  <c r="H52" i="15"/>
  <c r="G52" i="15"/>
  <c r="F52" i="15"/>
  <c r="E52" i="15"/>
  <c r="D52" i="15"/>
  <c r="C52" i="15"/>
  <c r="N51" i="15"/>
  <c r="M51" i="15"/>
  <c r="L51" i="15"/>
  <c r="K51" i="15"/>
  <c r="J51" i="15"/>
  <c r="I51" i="15"/>
  <c r="H51" i="15"/>
  <c r="G51" i="15"/>
  <c r="F51" i="15"/>
  <c r="E51" i="15"/>
  <c r="D51" i="15"/>
  <c r="C51" i="15"/>
  <c r="N50" i="15"/>
  <c r="M50" i="15"/>
  <c r="L50" i="15"/>
  <c r="K50" i="15"/>
  <c r="J50" i="15"/>
  <c r="I50" i="15"/>
  <c r="H50" i="15"/>
  <c r="G50" i="15"/>
  <c r="F50" i="15"/>
  <c r="E50" i="15"/>
  <c r="D50" i="15"/>
  <c r="C50" i="15"/>
  <c r="N49" i="15"/>
  <c r="M49" i="15"/>
  <c r="L49" i="15"/>
  <c r="K49" i="15"/>
  <c r="J49" i="15"/>
  <c r="I49" i="15"/>
  <c r="H49" i="15"/>
  <c r="G49" i="15"/>
  <c r="F49" i="15"/>
  <c r="E49" i="15"/>
  <c r="D49" i="15"/>
  <c r="C49" i="15"/>
  <c r="N48" i="15"/>
  <c r="M48" i="15"/>
  <c r="L48" i="15"/>
  <c r="K48" i="15"/>
  <c r="J48" i="15"/>
  <c r="I48" i="15"/>
  <c r="H48" i="15"/>
  <c r="G48" i="15"/>
  <c r="F48" i="15"/>
  <c r="E48" i="15"/>
  <c r="D48" i="15"/>
  <c r="C48" i="15"/>
  <c r="N47" i="15"/>
  <c r="M47" i="15"/>
  <c r="L47" i="15"/>
  <c r="K47" i="15"/>
  <c r="J47" i="15"/>
  <c r="I47" i="15"/>
  <c r="H47" i="15"/>
  <c r="G47" i="15"/>
  <c r="F47" i="15"/>
  <c r="E47" i="15"/>
  <c r="D47" i="15"/>
  <c r="C47" i="15"/>
  <c r="N46" i="15"/>
  <c r="M46" i="15"/>
  <c r="L46" i="15"/>
  <c r="K46" i="15"/>
  <c r="J46" i="15"/>
  <c r="I46" i="15"/>
  <c r="H46" i="15"/>
  <c r="G46" i="15"/>
  <c r="F46" i="15"/>
  <c r="E46" i="15"/>
  <c r="D46" i="15"/>
  <c r="C46" i="15"/>
  <c r="N45" i="15"/>
  <c r="M45" i="15"/>
  <c r="L45" i="15"/>
  <c r="K45" i="15"/>
  <c r="J45" i="15"/>
  <c r="I45" i="15"/>
  <c r="H45" i="15"/>
  <c r="G45" i="15"/>
  <c r="F45" i="15"/>
  <c r="E45" i="15"/>
  <c r="D45" i="15"/>
  <c r="C45" i="15"/>
  <c r="N44" i="15"/>
  <c r="M44" i="15"/>
  <c r="L44" i="15"/>
  <c r="K44" i="15"/>
  <c r="J44" i="15"/>
  <c r="I44" i="15"/>
  <c r="H44" i="15"/>
  <c r="G44" i="15"/>
  <c r="F44" i="15"/>
  <c r="E44" i="15"/>
  <c r="D44" i="15"/>
  <c r="C44" i="15"/>
  <c r="N43" i="15"/>
  <c r="M43" i="15"/>
  <c r="L43" i="15"/>
  <c r="K43" i="15"/>
  <c r="J43" i="15"/>
  <c r="I43" i="15"/>
  <c r="H43" i="15"/>
  <c r="G43" i="15"/>
  <c r="F43" i="15"/>
  <c r="E43" i="15"/>
  <c r="D43" i="15"/>
  <c r="C43" i="15"/>
  <c r="N42" i="15"/>
  <c r="M42" i="15"/>
  <c r="L42" i="15"/>
  <c r="K42" i="15"/>
  <c r="J42" i="15"/>
  <c r="I42" i="15"/>
  <c r="H42" i="15"/>
  <c r="G42" i="15"/>
  <c r="F42" i="15"/>
  <c r="E42" i="15"/>
  <c r="D42" i="15"/>
  <c r="C42" i="15"/>
  <c r="N41" i="15"/>
  <c r="M41" i="15"/>
  <c r="L41" i="15"/>
  <c r="K41" i="15"/>
  <c r="J41" i="15"/>
  <c r="I41" i="15"/>
  <c r="H41" i="15"/>
  <c r="G41" i="15"/>
  <c r="F41" i="15"/>
  <c r="E41" i="15"/>
  <c r="D41" i="15"/>
  <c r="C41" i="15"/>
  <c r="N40" i="15"/>
  <c r="M40" i="15"/>
  <c r="L40" i="15"/>
  <c r="K40" i="15"/>
  <c r="J40" i="15"/>
  <c r="I40" i="15"/>
  <c r="H40" i="15"/>
  <c r="G40" i="15"/>
  <c r="F40" i="15"/>
  <c r="E40" i="15"/>
  <c r="D40" i="15"/>
  <c r="C40" i="15"/>
  <c r="N39" i="15"/>
  <c r="M39" i="15"/>
  <c r="L39" i="15"/>
  <c r="K39" i="15"/>
  <c r="J39" i="15"/>
  <c r="I39" i="15"/>
  <c r="H39" i="15"/>
  <c r="G39" i="15"/>
  <c r="F39" i="15"/>
  <c r="E39" i="15"/>
  <c r="D39" i="15"/>
  <c r="C39" i="15"/>
  <c r="N38" i="15"/>
  <c r="M38" i="15"/>
  <c r="L38" i="15"/>
  <c r="K38" i="15"/>
  <c r="J38" i="15"/>
  <c r="I38" i="15"/>
  <c r="H38" i="15"/>
  <c r="G38" i="15"/>
  <c r="F38" i="15"/>
  <c r="E38" i="15"/>
  <c r="D38" i="15"/>
  <c r="C38" i="15"/>
  <c r="N37" i="15"/>
  <c r="M37" i="15"/>
  <c r="L37" i="15"/>
  <c r="K37" i="15"/>
  <c r="J37" i="15"/>
  <c r="I37" i="15"/>
  <c r="H37" i="15"/>
  <c r="G37" i="15"/>
  <c r="F37" i="15"/>
  <c r="E37" i="15"/>
  <c r="D37" i="15"/>
  <c r="C37" i="15"/>
  <c r="N36" i="15"/>
  <c r="M36" i="15"/>
  <c r="L36" i="15"/>
  <c r="K36" i="15"/>
  <c r="J36" i="15"/>
  <c r="I36" i="15"/>
  <c r="H36" i="15"/>
  <c r="G36" i="15"/>
  <c r="F36" i="15"/>
  <c r="E36" i="15"/>
  <c r="D36" i="15"/>
  <c r="C36" i="15"/>
  <c r="N35" i="15"/>
  <c r="M35" i="15"/>
  <c r="L35" i="15"/>
  <c r="K35" i="15"/>
  <c r="J35" i="15"/>
  <c r="I35" i="15"/>
  <c r="H35" i="15"/>
  <c r="G35" i="15"/>
  <c r="F35" i="15"/>
  <c r="E35" i="15"/>
  <c r="D35" i="15"/>
  <c r="C35" i="15"/>
  <c r="N34" i="15"/>
  <c r="M34" i="15"/>
  <c r="L34" i="15"/>
  <c r="K34" i="15"/>
  <c r="J34" i="15"/>
  <c r="I34" i="15"/>
  <c r="H34" i="15"/>
  <c r="G34" i="15"/>
  <c r="F34" i="15"/>
  <c r="E34" i="15"/>
  <c r="D34" i="15"/>
  <c r="C34" i="15"/>
  <c r="N33" i="15"/>
  <c r="M33" i="15"/>
  <c r="L33" i="15"/>
  <c r="K33" i="15"/>
  <c r="J33" i="15"/>
  <c r="I33" i="15"/>
  <c r="H33" i="15"/>
  <c r="G33" i="15"/>
  <c r="F33" i="15"/>
  <c r="E33" i="15"/>
  <c r="D33" i="15"/>
  <c r="C33" i="15"/>
  <c r="N32" i="15"/>
  <c r="M32" i="15"/>
  <c r="L32" i="15"/>
  <c r="K32" i="15"/>
  <c r="J32" i="15"/>
  <c r="I32" i="15"/>
  <c r="H32" i="15"/>
  <c r="G32" i="15"/>
  <c r="F32" i="15"/>
  <c r="E32" i="15"/>
  <c r="D32" i="15"/>
  <c r="C32" i="15"/>
  <c r="N31" i="15"/>
  <c r="M31" i="15"/>
  <c r="L31" i="15"/>
  <c r="K31" i="15"/>
  <c r="J31" i="15"/>
  <c r="I31" i="15"/>
  <c r="H31" i="15"/>
  <c r="G31" i="15"/>
  <c r="F31" i="15"/>
  <c r="E31" i="15"/>
  <c r="D31" i="15"/>
  <c r="C31" i="15"/>
  <c r="N30" i="15"/>
  <c r="M30" i="15"/>
  <c r="L30" i="15"/>
  <c r="K30" i="15"/>
  <c r="J30" i="15"/>
  <c r="I30" i="15"/>
  <c r="H30" i="15"/>
  <c r="G30" i="15"/>
  <c r="F30" i="15"/>
  <c r="E30" i="15"/>
  <c r="D30" i="15"/>
  <c r="C30" i="15"/>
  <c r="N29" i="15"/>
  <c r="M29" i="15"/>
  <c r="L29" i="15"/>
  <c r="K29" i="15"/>
  <c r="J29" i="15"/>
  <c r="I29" i="15"/>
  <c r="H29" i="15"/>
  <c r="G29" i="15"/>
  <c r="F29" i="15"/>
  <c r="E29" i="15"/>
  <c r="D29" i="15"/>
  <c r="C29" i="15"/>
  <c r="N28" i="15"/>
  <c r="M28" i="15"/>
  <c r="L28" i="15"/>
  <c r="K28" i="15"/>
  <c r="J28" i="15"/>
  <c r="I28" i="15"/>
  <c r="H28" i="15"/>
  <c r="G28" i="15"/>
  <c r="F28" i="15"/>
  <c r="E28" i="15"/>
  <c r="D28" i="15"/>
  <c r="C28" i="15"/>
  <c r="N27" i="15"/>
  <c r="M27" i="15"/>
  <c r="L27" i="15"/>
  <c r="K27" i="15"/>
  <c r="J27" i="15"/>
  <c r="I27" i="15"/>
  <c r="H27" i="15"/>
  <c r="G27" i="15"/>
  <c r="F27" i="15"/>
  <c r="E27" i="15"/>
  <c r="D27" i="15"/>
  <c r="C27" i="15"/>
  <c r="N26" i="15"/>
  <c r="M26" i="15"/>
  <c r="L26" i="15"/>
  <c r="K26" i="15"/>
  <c r="J26" i="15"/>
  <c r="I26" i="15"/>
  <c r="H26" i="15"/>
  <c r="G26" i="15"/>
  <c r="F26" i="15"/>
  <c r="E26" i="15"/>
  <c r="D26" i="15"/>
  <c r="C26" i="15"/>
  <c r="N25" i="15"/>
  <c r="M25" i="15"/>
  <c r="L25" i="15"/>
  <c r="K25" i="15"/>
  <c r="J25" i="15"/>
  <c r="I25" i="15"/>
  <c r="H25" i="15"/>
  <c r="G25" i="15"/>
  <c r="F25" i="15"/>
  <c r="E25" i="15"/>
  <c r="D25" i="15"/>
  <c r="C25" i="15"/>
  <c r="N24" i="15"/>
  <c r="M24" i="15"/>
  <c r="L24" i="15"/>
  <c r="K24" i="15"/>
  <c r="J24" i="15"/>
  <c r="I24" i="15"/>
  <c r="H24" i="15"/>
  <c r="G24" i="15"/>
  <c r="F24" i="15"/>
  <c r="E24" i="15"/>
  <c r="D24" i="15"/>
  <c r="C24" i="15"/>
  <c r="N23" i="15"/>
  <c r="M23" i="15"/>
  <c r="L23" i="15"/>
  <c r="K23" i="15"/>
  <c r="J23" i="15"/>
  <c r="I23" i="15"/>
  <c r="H23" i="15"/>
  <c r="G23" i="15"/>
  <c r="F23" i="15"/>
  <c r="E23" i="15"/>
  <c r="D23" i="15"/>
  <c r="C23" i="15"/>
  <c r="N22" i="15"/>
  <c r="M22" i="15"/>
  <c r="L22" i="15"/>
  <c r="K22" i="15"/>
  <c r="J22" i="15"/>
  <c r="I22" i="15"/>
  <c r="H22" i="15"/>
  <c r="G22" i="15"/>
  <c r="F22" i="15"/>
  <c r="E22" i="15"/>
  <c r="D22" i="15"/>
  <c r="C22" i="15"/>
  <c r="N21" i="15"/>
  <c r="M21" i="15"/>
  <c r="L21" i="15"/>
  <c r="K21" i="15"/>
  <c r="J21" i="15"/>
  <c r="I21" i="15"/>
  <c r="H21" i="15"/>
  <c r="G21" i="15"/>
  <c r="F21" i="15"/>
  <c r="E21" i="15"/>
  <c r="D21" i="15"/>
  <c r="C21" i="15"/>
  <c r="N20" i="15"/>
  <c r="M20" i="15"/>
  <c r="L20" i="15"/>
  <c r="K20" i="15"/>
  <c r="J20" i="15"/>
  <c r="I20" i="15"/>
  <c r="H20" i="15"/>
  <c r="G20" i="15"/>
  <c r="F20" i="15"/>
  <c r="E20" i="15"/>
  <c r="D20" i="15"/>
  <c r="C20" i="15"/>
  <c r="N19" i="15"/>
  <c r="M19" i="15"/>
  <c r="L19" i="15"/>
  <c r="K19" i="15"/>
  <c r="J19" i="15"/>
  <c r="I19" i="15"/>
  <c r="H19" i="15"/>
  <c r="G19" i="15"/>
  <c r="F19" i="15"/>
  <c r="E19" i="15"/>
  <c r="D19" i="15"/>
  <c r="C19" i="15"/>
  <c r="N18" i="15"/>
  <c r="M18" i="15"/>
  <c r="L18" i="15"/>
  <c r="K18" i="15"/>
  <c r="J18" i="15"/>
  <c r="I18" i="15"/>
  <c r="H18" i="15"/>
  <c r="G18" i="15"/>
  <c r="F18" i="15"/>
  <c r="E18" i="15"/>
  <c r="D18" i="15"/>
  <c r="C18" i="15"/>
  <c r="N17" i="15"/>
  <c r="M17" i="15"/>
  <c r="L17" i="15"/>
  <c r="K17" i="15"/>
  <c r="J17" i="15"/>
  <c r="I17" i="15"/>
  <c r="H17" i="15"/>
  <c r="G17" i="15"/>
  <c r="F17" i="15"/>
  <c r="E17" i="15"/>
  <c r="D17" i="15"/>
  <c r="C17" i="15"/>
  <c r="N16" i="15"/>
  <c r="M16" i="15"/>
  <c r="L16" i="15"/>
  <c r="K16" i="15"/>
  <c r="J16" i="15"/>
  <c r="I16" i="15"/>
  <c r="H16" i="15"/>
  <c r="G16" i="15"/>
  <c r="F16" i="15"/>
  <c r="E16" i="15"/>
  <c r="D16" i="15"/>
  <c r="C16" i="15"/>
  <c r="N15" i="15"/>
  <c r="M15" i="15"/>
  <c r="L15" i="15"/>
  <c r="K15" i="15"/>
  <c r="J15" i="15"/>
  <c r="I15" i="15"/>
  <c r="H15" i="15"/>
  <c r="G15" i="15"/>
  <c r="F15" i="15"/>
  <c r="E15" i="15"/>
  <c r="D15" i="15"/>
  <c r="C15" i="15"/>
  <c r="N14" i="15"/>
  <c r="M14" i="15"/>
  <c r="L14" i="15"/>
  <c r="K14" i="15"/>
  <c r="J14" i="15"/>
  <c r="I14" i="15"/>
  <c r="H14" i="15"/>
  <c r="G14" i="15"/>
  <c r="F14" i="15"/>
  <c r="E14" i="15"/>
  <c r="D14" i="15"/>
  <c r="C14" i="15"/>
  <c r="N13" i="15"/>
  <c r="M13" i="15"/>
  <c r="L13" i="15"/>
  <c r="K13" i="15"/>
  <c r="J13" i="15"/>
  <c r="I13" i="15"/>
  <c r="H13" i="15"/>
  <c r="G13" i="15"/>
  <c r="F13" i="15"/>
  <c r="E13" i="15"/>
  <c r="D13" i="15"/>
  <c r="C13" i="15"/>
  <c r="N12" i="15"/>
  <c r="M12" i="15"/>
  <c r="L12" i="15"/>
  <c r="K12" i="15"/>
  <c r="J12" i="15"/>
  <c r="I12" i="15"/>
  <c r="H12" i="15"/>
  <c r="G12" i="15"/>
  <c r="F12" i="15"/>
  <c r="E12" i="15"/>
  <c r="D12" i="15"/>
  <c r="C12" i="15"/>
  <c r="N11" i="15"/>
  <c r="M11" i="15"/>
  <c r="L11" i="15"/>
  <c r="K11" i="15"/>
  <c r="J11" i="15"/>
  <c r="I11" i="15"/>
  <c r="H11" i="15"/>
  <c r="G11" i="15"/>
  <c r="F11" i="15"/>
  <c r="E11" i="15"/>
  <c r="D11" i="15"/>
  <c r="C11" i="15"/>
  <c r="N10" i="15"/>
  <c r="M10" i="15"/>
  <c r="L10" i="15"/>
  <c r="K10" i="15"/>
  <c r="J10" i="15"/>
  <c r="I10" i="15"/>
  <c r="H10" i="15"/>
  <c r="G10" i="15"/>
  <c r="F10" i="15"/>
  <c r="E10" i="15"/>
  <c r="D10" i="15"/>
  <c r="C10" i="15"/>
  <c r="N9" i="15"/>
  <c r="M9" i="15"/>
  <c r="L9" i="15"/>
  <c r="K9" i="15"/>
  <c r="J9" i="15"/>
  <c r="I9" i="15"/>
  <c r="H9" i="15"/>
  <c r="G9" i="15"/>
  <c r="F9" i="15"/>
  <c r="E9" i="15"/>
  <c r="D9" i="15"/>
  <c r="C9" i="15"/>
  <c r="N8" i="15"/>
  <c r="M8" i="15"/>
  <c r="L8" i="15"/>
  <c r="K8" i="15"/>
  <c r="J8" i="15"/>
  <c r="I8" i="15"/>
  <c r="H8" i="15"/>
  <c r="G8" i="15"/>
  <c r="F8" i="15"/>
  <c r="E8" i="15"/>
  <c r="D8" i="15"/>
  <c r="C8" i="15"/>
  <c r="N7" i="15"/>
  <c r="M7" i="15"/>
  <c r="L7" i="15"/>
  <c r="K7" i="15"/>
  <c r="J7" i="15"/>
  <c r="I7" i="15"/>
  <c r="H7" i="15"/>
  <c r="G7" i="15"/>
  <c r="F7" i="15"/>
  <c r="E7" i="15"/>
  <c r="D7" i="15"/>
  <c r="C7" i="15"/>
  <c r="N6" i="15"/>
  <c r="M6" i="15"/>
  <c r="L6" i="15"/>
  <c r="K6" i="15"/>
  <c r="J6" i="15"/>
  <c r="I6" i="15"/>
  <c r="H6" i="15"/>
  <c r="G6" i="15"/>
  <c r="F6" i="15"/>
  <c r="E6" i="15"/>
  <c r="D6" i="15"/>
  <c r="C6" i="15"/>
  <c r="N5" i="15"/>
  <c r="M5" i="15"/>
  <c r="L5" i="15"/>
  <c r="K5" i="15"/>
  <c r="J5" i="15"/>
  <c r="I5" i="15"/>
  <c r="H5" i="15"/>
  <c r="G5" i="15"/>
  <c r="F5" i="15"/>
  <c r="E5" i="15"/>
  <c r="D5" i="15"/>
  <c r="C5" i="15"/>
  <c r="B5" i="15"/>
  <c r="M4" i="15"/>
  <c r="K4" i="15"/>
  <c r="I4" i="15"/>
  <c r="G4" i="15"/>
  <c r="B341" i="14"/>
  <c r="B340" i="14"/>
  <c r="B339" i="14"/>
  <c r="B338" i="14"/>
  <c r="B337" i="14"/>
  <c r="B336" i="14"/>
  <c r="B335" i="14"/>
  <c r="B334" i="14"/>
  <c r="B333" i="14"/>
  <c r="B332" i="14"/>
  <c r="B331" i="14"/>
  <c r="B330" i="14"/>
  <c r="B329" i="14"/>
  <c r="B328" i="14"/>
  <c r="B327" i="14"/>
  <c r="B326" i="14"/>
  <c r="B325" i="14"/>
  <c r="B324" i="14"/>
  <c r="B323" i="14"/>
  <c r="B322" i="14"/>
  <c r="B321" i="14"/>
  <c r="B320" i="14"/>
  <c r="B319" i="14"/>
  <c r="B318" i="14"/>
  <c r="B317" i="14"/>
  <c r="B316" i="14"/>
  <c r="B315" i="14"/>
  <c r="B314" i="14"/>
  <c r="B313" i="14"/>
  <c r="B312" i="14"/>
  <c r="B311" i="14"/>
  <c r="B310" i="14"/>
  <c r="B309" i="14"/>
  <c r="B308" i="14"/>
  <c r="B307" i="14"/>
  <c r="B306" i="14"/>
  <c r="B305" i="14"/>
  <c r="B304" i="14"/>
  <c r="B303" i="14"/>
  <c r="B302" i="14"/>
  <c r="B301" i="14"/>
  <c r="B300" i="14"/>
  <c r="B299" i="14"/>
  <c r="B298" i="14"/>
  <c r="B297" i="14"/>
  <c r="B296" i="14"/>
  <c r="B295" i="14"/>
  <c r="B294" i="14"/>
  <c r="B293" i="14"/>
  <c r="B292" i="14"/>
  <c r="B291" i="14"/>
  <c r="B290" i="14"/>
  <c r="B289" i="14"/>
  <c r="B288" i="14"/>
  <c r="B287" i="14"/>
  <c r="B286" i="14"/>
  <c r="B285" i="14"/>
  <c r="B284" i="14"/>
  <c r="B283" i="14"/>
  <c r="B282" i="14"/>
  <c r="B281" i="14"/>
  <c r="B280" i="14"/>
  <c r="B279" i="14"/>
  <c r="B278" i="14"/>
  <c r="B277" i="14"/>
  <c r="B276" i="14"/>
  <c r="B275" i="14"/>
  <c r="B274" i="14"/>
  <c r="B273" i="14"/>
  <c r="B272" i="14"/>
  <c r="B271" i="14"/>
  <c r="B270" i="14"/>
  <c r="B269" i="14"/>
  <c r="B268" i="14"/>
  <c r="B267" i="14"/>
  <c r="B266" i="14"/>
  <c r="B265" i="14"/>
  <c r="B264" i="14"/>
  <c r="B263" i="14"/>
  <c r="B262" i="14"/>
  <c r="B261" i="14"/>
  <c r="B260" i="14"/>
  <c r="B259" i="14"/>
  <c r="B258" i="14"/>
  <c r="B257" i="14"/>
  <c r="B256" i="14"/>
  <c r="B255" i="14"/>
  <c r="B254" i="14"/>
  <c r="B253" i="14"/>
  <c r="B252" i="14"/>
  <c r="B251" i="14"/>
  <c r="B250" i="14"/>
  <c r="B249" i="14"/>
  <c r="B248" i="14"/>
  <c r="B247" i="14"/>
  <c r="B246" i="14"/>
  <c r="B245" i="14"/>
  <c r="B244" i="14"/>
  <c r="B243" i="14"/>
  <c r="B242" i="14"/>
  <c r="B241" i="14"/>
  <c r="B240" i="14"/>
  <c r="B239" i="14"/>
  <c r="B238" i="14"/>
  <c r="B237" i="14"/>
  <c r="B236" i="14"/>
  <c r="B235" i="14"/>
  <c r="B234" i="14"/>
  <c r="B233" i="14"/>
  <c r="B232" i="14"/>
  <c r="B231" i="14"/>
  <c r="B230" i="14"/>
  <c r="B229" i="14"/>
  <c r="B228" i="14"/>
  <c r="B227" i="14"/>
  <c r="B226" i="14"/>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AG3" i="14"/>
  <c r="AF3" i="14"/>
  <c r="AE3" i="14"/>
  <c r="AD3" i="14"/>
  <c r="AC3" i="14"/>
  <c r="AB3" i="14"/>
  <c r="AA3" i="14"/>
  <c r="Z3" i="14"/>
  <c r="Y3" i="14"/>
  <c r="X3" i="14"/>
  <c r="W3" i="14" s="1"/>
  <c r="AF2" i="14"/>
  <c r="AD2" i="14"/>
  <c r="AB2" i="14"/>
  <c r="Z2" i="14"/>
  <c r="M2" i="14"/>
  <c r="K2" i="14"/>
  <c r="I2" i="14"/>
  <c r="G2" i="14"/>
  <c r="C4" i="14" l="1" a="1"/>
  <c r="C689" i="14" s="1"/>
  <c r="O4" i="14" a="1"/>
  <c r="P4" i="14" a="1"/>
  <c r="C159" i="14" l="1"/>
  <c r="C470" i="14"/>
  <c r="C408" i="14"/>
  <c r="C330" i="14"/>
  <c r="C179" i="14"/>
  <c r="C514" i="14"/>
  <c r="C424" i="14"/>
  <c r="C237" i="14"/>
  <c r="C195" i="14"/>
  <c r="C562" i="14"/>
  <c r="C607" i="14"/>
  <c r="C261" i="14"/>
  <c r="C287" i="14"/>
  <c r="C770" i="14"/>
  <c r="C137" i="14"/>
  <c r="C597" i="14"/>
  <c r="C413" i="14"/>
  <c r="C80" i="14"/>
  <c r="C797" i="14"/>
  <c r="C349" i="14"/>
  <c r="C790" i="14"/>
  <c r="C791" i="14"/>
  <c r="C459" i="14"/>
  <c r="C711" i="14"/>
  <c r="C399" i="14"/>
  <c r="C779" i="14"/>
  <c r="C496" i="14"/>
  <c r="C60" i="14"/>
  <c r="C471" i="14"/>
  <c r="C268" i="14"/>
  <c r="C38" i="14"/>
  <c r="C82" i="14"/>
  <c r="C829" i="14"/>
  <c r="C211" i="14"/>
  <c r="C704" i="14"/>
  <c r="C772" i="14"/>
  <c r="C567" i="14"/>
  <c r="C227" i="14"/>
  <c r="C173" i="14"/>
  <c r="C750" i="14"/>
  <c r="C719" i="14"/>
  <c r="C263" i="14"/>
  <c r="C416" i="14"/>
  <c r="C106" i="14"/>
  <c r="C457" i="14"/>
  <c r="C484" i="14"/>
  <c r="C239" i="14"/>
  <c r="C232" i="14"/>
  <c r="C805" i="14"/>
  <c r="C440" i="14"/>
  <c r="C122" i="14"/>
  <c r="C637" i="14"/>
  <c r="C288" i="14"/>
  <c r="C146" i="14"/>
  <c r="C118" i="14"/>
  <c r="C12" i="14"/>
  <c r="C295" i="14"/>
  <c r="C716" i="14"/>
  <c r="C796" i="14"/>
  <c r="C132" i="14"/>
  <c r="C744" i="14"/>
  <c r="C458" i="14"/>
  <c r="C547" i="14"/>
  <c r="C225" i="14"/>
  <c r="C204" i="14"/>
  <c r="C768" i="14"/>
  <c r="C518" i="14"/>
  <c r="C583" i="14"/>
  <c r="C342" i="14"/>
  <c r="C276" i="14"/>
  <c r="C816" i="14"/>
  <c r="C553" i="14"/>
  <c r="C564" i="14"/>
  <c r="C366" i="14"/>
  <c r="C660" i="14"/>
  <c r="C145" i="14"/>
  <c r="C732" i="14"/>
  <c r="C68" i="14"/>
  <c r="C738" i="14"/>
  <c r="C77" i="14"/>
  <c r="C293" i="14"/>
  <c r="C609" i="14"/>
  <c r="C682" i="14"/>
  <c r="C449" i="14"/>
  <c r="C687" i="14"/>
  <c r="C785" i="14"/>
  <c r="C552" i="14"/>
  <c r="C428" i="14"/>
  <c r="C22" i="14"/>
  <c r="C759" i="14"/>
  <c r="C833" i="14"/>
  <c r="C400" i="14"/>
  <c r="C448" i="14"/>
  <c r="C218" i="14"/>
  <c r="C170" i="14"/>
  <c r="C120" i="14"/>
  <c r="C319" i="14"/>
  <c r="C800" i="14"/>
  <c r="C6" i="14"/>
  <c r="C220" i="14"/>
  <c r="C695" i="14"/>
  <c r="C433" i="14"/>
  <c r="C313" i="14"/>
  <c r="C243" i="14"/>
  <c r="C209" i="14"/>
  <c r="C92" i="14"/>
  <c r="C657" i="14"/>
  <c r="C762" i="14"/>
  <c r="C311" i="14"/>
  <c r="C266" i="14"/>
  <c r="C348" i="14"/>
  <c r="C773" i="14"/>
  <c r="C723" i="14"/>
  <c r="C231" i="14"/>
  <c r="C743" i="14"/>
  <c r="C396" i="14"/>
  <c r="C17" i="14"/>
  <c r="C469" i="14"/>
  <c r="C182" i="14"/>
  <c r="C575" i="14"/>
  <c r="C365" i="14"/>
  <c r="C134" i="14"/>
  <c r="C684" i="14"/>
  <c r="C315" i="14"/>
  <c r="C48" i="14"/>
  <c r="C586" i="14"/>
  <c r="C229" i="14"/>
  <c r="C783" i="14"/>
  <c r="C331" i="14"/>
  <c r="C679" i="14"/>
  <c r="C128" i="14"/>
  <c r="C464" i="14"/>
  <c r="C812" i="14"/>
  <c r="C273" i="14"/>
  <c r="C669" i="14"/>
  <c r="C508" i="14"/>
  <c r="C78" i="14"/>
  <c r="C390" i="14"/>
  <c r="C774" i="14"/>
  <c r="C95" i="14"/>
  <c r="C338" i="14"/>
  <c r="C494" i="14"/>
  <c r="C41" i="14"/>
  <c r="C256" i="14"/>
  <c r="C267" i="14"/>
  <c r="C767" i="14"/>
  <c r="C432" i="14"/>
  <c r="C37" i="14"/>
  <c r="C491" i="14"/>
  <c r="C202" i="14"/>
  <c r="C722" i="14"/>
  <c r="C421" i="14"/>
  <c r="C154" i="14"/>
  <c r="C708" i="14"/>
  <c r="C335" i="14"/>
  <c r="C84" i="14"/>
  <c r="C603" i="14"/>
  <c r="C353" i="14"/>
  <c r="C7" i="14"/>
  <c r="C343" i="14"/>
  <c r="C691" i="14"/>
  <c r="C140" i="14"/>
  <c r="C488" i="14"/>
  <c r="C824" i="14"/>
  <c r="C381" i="14"/>
  <c r="C693" i="14"/>
  <c r="C556" i="14"/>
  <c r="C90" i="14"/>
  <c r="C438" i="14"/>
  <c r="C798" i="14"/>
  <c r="C592" i="14"/>
  <c r="C236" i="14"/>
  <c r="C355" i="14"/>
  <c r="C705" i="14"/>
  <c r="C161" i="14"/>
  <c r="C727" i="14"/>
  <c r="C302" i="14"/>
  <c r="C131" i="14"/>
  <c r="C363" i="14"/>
  <c r="C394" i="14"/>
  <c r="C555" i="14"/>
  <c r="C411" i="14"/>
  <c r="C36" i="14"/>
  <c r="C490" i="14"/>
  <c r="C197" i="14"/>
  <c r="C697" i="14"/>
  <c r="C290" i="14"/>
  <c r="C818" i="14"/>
  <c r="C600" i="14"/>
  <c r="C242" i="14"/>
  <c r="C828" i="14"/>
  <c r="C502" i="14"/>
  <c r="C264" i="14"/>
  <c r="C734" i="14"/>
  <c r="C425" i="14"/>
  <c r="C115" i="14"/>
  <c r="C403" i="14"/>
  <c r="C751" i="14"/>
  <c r="C248" i="14"/>
  <c r="C608" i="14"/>
  <c r="C57" i="14"/>
  <c r="C417" i="14"/>
  <c r="C825" i="14"/>
  <c r="C604" i="14"/>
  <c r="C162" i="14"/>
  <c r="C534" i="14"/>
  <c r="C167" i="14"/>
  <c r="C217" i="14"/>
  <c r="C541" i="14"/>
  <c r="C782" i="14"/>
  <c r="C445" i="14"/>
  <c r="C127" i="14"/>
  <c r="C487" i="14"/>
  <c r="C775" i="14"/>
  <c r="C272" i="14"/>
  <c r="C632" i="14"/>
  <c r="C81" i="14"/>
  <c r="C441" i="14"/>
  <c r="C837" i="14"/>
  <c r="C712" i="14"/>
  <c r="C186" i="14"/>
  <c r="C582" i="14"/>
  <c r="C610" i="14"/>
  <c r="C647" i="14"/>
  <c r="C389" i="14"/>
  <c r="C31" i="14"/>
  <c r="C703" i="14"/>
  <c r="C224" i="14"/>
  <c r="C512" i="14"/>
  <c r="C9" i="14"/>
  <c r="C393" i="14"/>
  <c r="C568" i="14"/>
  <c r="C102" i="14"/>
  <c r="C510" i="14"/>
  <c r="C822" i="14"/>
  <c r="C527" i="14"/>
  <c r="C61" i="14"/>
  <c r="C749" i="14"/>
  <c r="C178" i="14"/>
  <c r="C473" i="14"/>
  <c r="C395" i="14"/>
  <c r="C16" i="14"/>
  <c r="C468" i="14"/>
  <c r="C574" i="14"/>
  <c r="C238" i="14"/>
  <c r="C794" i="14"/>
  <c r="C578" i="14"/>
  <c r="C226" i="14"/>
  <c r="C780" i="14"/>
  <c r="C480" i="14"/>
  <c r="C136" i="14"/>
  <c r="C665" i="14"/>
  <c r="C409" i="14"/>
  <c r="C103" i="14"/>
  <c r="C391" i="14"/>
  <c r="C524" i="14"/>
  <c r="C21" i="14"/>
  <c r="C405" i="14"/>
  <c r="C813" i="14"/>
  <c r="C150" i="14"/>
  <c r="C522" i="14"/>
  <c r="C23" i="14"/>
  <c r="C505" i="14"/>
  <c r="C203" i="14"/>
  <c r="C435" i="14"/>
  <c r="C466" i="14"/>
  <c r="C638" i="14"/>
  <c r="C447" i="14"/>
  <c r="C144" i="14"/>
  <c r="C551" i="14"/>
  <c r="C721" i="14"/>
  <c r="C310" i="14"/>
  <c r="C842" i="14"/>
  <c r="C622" i="14"/>
  <c r="C370" i="14"/>
  <c r="C27" i="14"/>
  <c r="C300" i="14"/>
  <c r="C286" i="14"/>
  <c r="C275" i="14"/>
  <c r="C598" i="14"/>
  <c r="C111" i="14"/>
  <c r="C15" i="14"/>
  <c r="C467" i="14"/>
  <c r="C160" i="14"/>
  <c r="C569" i="14"/>
  <c r="C233" i="14"/>
  <c r="C745" i="14"/>
  <c r="C418" i="14"/>
  <c r="C133" i="14"/>
  <c r="C661" i="14"/>
  <c r="C386" i="14"/>
  <c r="C47" i="14"/>
  <c r="C563" i="14"/>
  <c r="C316" i="14"/>
  <c r="C65" i="14"/>
  <c r="C504" i="14"/>
  <c r="C151" i="14"/>
  <c r="C499" i="14"/>
  <c r="C787" i="14"/>
  <c r="C284" i="14"/>
  <c r="C644" i="14"/>
  <c r="C153" i="14"/>
  <c r="C465" i="14"/>
  <c r="C694" i="14"/>
  <c r="C724" i="14"/>
  <c r="C198" i="14"/>
  <c r="C594" i="14"/>
  <c r="C374" i="14"/>
  <c r="C699" i="14"/>
  <c r="C493" i="14"/>
  <c r="C677" i="14"/>
  <c r="C183" i="14"/>
  <c r="C35" i="14"/>
  <c r="C485" i="14"/>
  <c r="C180" i="14"/>
  <c r="C696" i="14"/>
  <c r="C269" i="14"/>
  <c r="C793" i="14"/>
  <c r="C434" i="14"/>
  <c r="C149" i="14"/>
  <c r="C707" i="14"/>
  <c r="C406" i="14"/>
  <c r="C171" i="14"/>
  <c r="C624" i="14"/>
  <c r="C336" i="14"/>
  <c r="C85" i="14"/>
  <c r="C526" i="14"/>
  <c r="C175" i="14"/>
  <c r="C511" i="14"/>
  <c r="C32" i="14"/>
  <c r="C320" i="14"/>
  <c r="C656" i="14"/>
  <c r="C165" i="14"/>
  <c r="C513" i="14"/>
  <c r="C718" i="14"/>
  <c r="C736" i="14"/>
  <c r="C306" i="14"/>
  <c r="C618" i="14"/>
  <c r="C142" i="14"/>
  <c r="C455" i="14"/>
  <c r="C576" i="14"/>
  <c r="C771" i="14"/>
  <c r="C255" i="14"/>
  <c r="C143" i="14"/>
  <c r="C528" i="14"/>
  <c r="C216" i="14"/>
  <c r="C720" i="14"/>
  <c r="C305" i="14"/>
  <c r="C817" i="14"/>
  <c r="C454" i="14"/>
  <c r="C277" i="14"/>
  <c r="C755" i="14"/>
  <c r="C442" i="14"/>
  <c r="C207" i="14"/>
  <c r="C663" i="14"/>
  <c r="C352" i="14"/>
  <c r="C101" i="14"/>
  <c r="C670" i="14"/>
  <c r="C199" i="14"/>
  <c r="C535" i="14"/>
  <c r="C56" i="14"/>
  <c r="C344" i="14"/>
  <c r="C668" i="14"/>
  <c r="C177" i="14"/>
  <c r="C585" i="14"/>
  <c r="C742" i="14"/>
  <c r="C748" i="14"/>
  <c r="C318" i="14"/>
  <c r="C630" i="14"/>
  <c r="C341" i="14"/>
  <c r="C481" i="14"/>
  <c r="C247" i="14"/>
  <c r="C823" i="14"/>
  <c r="C176" i="14"/>
  <c r="C368" i="14"/>
  <c r="C560" i="14"/>
  <c r="C752" i="14"/>
  <c r="C105" i="14"/>
  <c r="C537" i="14"/>
  <c r="C814" i="14"/>
  <c r="C640" i="14"/>
  <c r="C30" i="14"/>
  <c r="C234" i="14"/>
  <c r="C462" i="14"/>
  <c r="C666" i="14"/>
  <c r="C384" i="14"/>
  <c r="C538" i="14"/>
  <c r="C483" i="14"/>
  <c r="C659" i="14"/>
  <c r="C292" i="14"/>
  <c r="C4" i="14"/>
  <c r="C303" i="14"/>
  <c r="C52" i="14"/>
  <c r="C590" i="14"/>
  <c r="C325" i="14"/>
  <c r="C74" i="14"/>
  <c r="C593" i="14"/>
  <c r="C478" i="14"/>
  <c r="C262" i="14"/>
  <c r="C63" i="14"/>
  <c r="C685" i="14"/>
  <c r="C444" i="14"/>
  <c r="C245" i="14"/>
  <c r="C43" i="14"/>
  <c r="C415" i="14"/>
  <c r="C799" i="14"/>
  <c r="C356" i="14"/>
  <c r="C93" i="14"/>
  <c r="C525" i="14"/>
  <c r="C628" i="14"/>
  <c r="C654" i="14"/>
  <c r="C312" i="14"/>
  <c r="C701" i="14"/>
  <c r="C747" i="14"/>
  <c r="C147" i="14"/>
  <c r="C364" i="14"/>
  <c r="C627" i="14"/>
  <c r="C71" i="14"/>
  <c r="C339" i="14"/>
  <c r="C611" i="14"/>
  <c r="C340" i="14"/>
  <c r="C612" i="14"/>
  <c r="C613" i="14"/>
  <c r="C346" i="14"/>
  <c r="C205" i="14"/>
  <c r="C10" i="14"/>
  <c r="C601" i="14"/>
  <c r="C387" i="14"/>
  <c r="C709" i="14"/>
  <c r="C830" i="14"/>
  <c r="C587" i="14"/>
  <c r="C439" i="14"/>
  <c r="C309" i="14"/>
  <c r="C240" i="14"/>
  <c r="C809" i="14"/>
  <c r="C629" i="14"/>
  <c r="C109" i="14"/>
  <c r="C110" i="14"/>
  <c r="C658" i="14"/>
  <c r="C241" i="14"/>
  <c r="C517" i="14"/>
  <c r="C334" i="14"/>
  <c r="C623" i="14"/>
  <c r="C119" i="14"/>
  <c r="C423" i="14"/>
  <c r="C733" i="14"/>
  <c r="C208" i="14"/>
  <c r="C521" i="14"/>
  <c r="C13" i="14"/>
  <c r="C301" i="14"/>
  <c r="C626" i="14"/>
  <c r="C67" i="14"/>
  <c r="C259" i="14"/>
  <c r="C463" i="14"/>
  <c r="C643" i="14"/>
  <c r="C835" i="14"/>
  <c r="C200" i="14"/>
  <c r="C380" i="14"/>
  <c r="C572" i="14"/>
  <c r="C776" i="14"/>
  <c r="C117" i="14"/>
  <c r="C321" i="14"/>
  <c r="C549" i="14"/>
  <c r="C753" i="14"/>
  <c r="C826" i="14"/>
  <c r="C652" i="14"/>
  <c r="C42" i="14"/>
  <c r="C246" i="14"/>
  <c r="C474" i="14"/>
  <c r="C678" i="14"/>
  <c r="C168" i="14"/>
  <c r="C75" i="14"/>
  <c r="C24" i="14"/>
  <c r="C545" i="14"/>
  <c r="C51" i="14"/>
  <c r="C589" i="14"/>
  <c r="C324" i="14"/>
  <c r="C53" i="14"/>
  <c r="C591" i="14"/>
  <c r="C326" i="14"/>
  <c r="C169" i="14"/>
  <c r="C803" i="14"/>
  <c r="C579" i="14"/>
  <c r="C351" i="14"/>
  <c r="C156" i="14"/>
  <c r="C806" i="14"/>
  <c r="C543" i="14"/>
  <c r="C223" i="14"/>
  <c r="C619" i="14"/>
  <c r="C152" i="14"/>
  <c r="C536" i="14"/>
  <c r="C728" i="14"/>
  <c r="C297" i="14"/>
  <c r="C729" i="14"/>
  <c r="C802" i="14"/>
  <c r="C18" i="14"/>
  <c r="C222" i="14"/>
  <c r="C450" i="14"/>
  <c r="C617" i="14"/>
  <c r="C566" i="14"/>
  <c r="C59" i="14"/>
  <c r="C72" i="14"/>
  <c r="C89" i="14"/>
  <c r="C94" i="14"/>
  <c r="C636" i="14"/>
  <c r="C495" i="14"/>
  <c r="C298" i="14"/>
  <c r="C99" i="14"/>
  <c r="C192" i="14"/>
  <c r="C281" i="14"/>
  <c r="C55" i="14"/>
  <c r="C631" i="14"/>
  <c r="C741" i="14"/>
  <c r="C96" i="14"/>
  <c r="C649" i="14"/>
  <c r="C843" i="14"/>
  <c r="C219" i="14"/>
  <c r="C436" i="14"/>
  <c r="C112" i="14"/>
  <c r="C87" i="14"/>
  <c r="C359" i="14"/>
  <c r="C108" i="14"/>
  <c r="C360" i="14"/>
  <c r="C634" i="14"/>
  <c r="C361" i="14"/>
  <c r="C653" i="14"/>
  <c r="C362" i="14"/>
  <c r="C26" i="14"/>
  <c r="C795" i="14"/>
  <c r="C40" i="14"/>
  <c r="C737" i="14"/>
  <c r="C70" i="14"/>
  <c r="C291" i="14"/>
  <c r="C516" i="14"/>
  <c r="C50" i="14"/>
  <c r="C184" i="14"/>
  <c r="C123" i="14"/>
  <c r="C375" i="14"/>
  <c r="C650" i="14"/>
  <c r="C124" i="14"/>
  <c r="C376" i="14"/>
  <c r="C673" i="14"/>
  <c r="C125" i="14"/>
  <c r="C377" i="14"/>
  <c r="C674" i="14"/>
  <c r="C130" i="14"/>
  <c r="C398" i="14"/>
  <c r="C675" i="14"/>
  <c r="C257" i="14"/>
  <c r="C539" i="14"/>
  <c r="C46" i="14"/>
  <c r="C350" i="14"/>
  <c r="C641" i="14"/>
  <c r="C135" i="14"/>
  <c r="C443" i="14"/>
  <c r="C757" i="14"/>
  <c r="C228" i="14"/>
  <c r="C542" i="14"/>
  <c r="C29" i="14"/>
  <c r="C317" i="14"/>
  <c r="C648" i="14"/>
  <c r="C79" i="14"/>
  <c r="C271" i="14"/>
  <c r="C475" i="14"/>
  <c r="C655" i="14"/>
  <c r="C8" i="14"/>
  <c r="C212" i="14"/>
  <c r="C392" i="14"/>
  <c r="C584" i="14"/>
  <c r="C788" i="14"/>
  <c r="C129" i="14"/>
  <c r="C369" i="14"/>
  <c r="C561" i="14"/>
  <c r="C801" i="14"/>
  <c r="C838" i="14"/>
  <c r="C700" i="14"/>
  <c r="C54" i="14"/>
  <c r="C294" i="14"/>
  <c r="C486" i="14"/>
  <c r="C726" i="14"/>
  <c r="C615" i="14"/>
  <c r="C761" i="14"/>
  <c r="C194" i="14"/>
  <c r="C347" i="14"/>
  <c r="C577" i="14"/>
  <c r="C25" i="14"/>
  <c r="C322" i="14"/>
  <c r="C554" i="14"/>
  <c r="C725" i="14"/>
  <c r="C251" i="14"/>
  <c r="C506" i="14"/>
  <c r="C839" i="14"/>
  <c r="C252" i="14"/>
  <c r="C507" i="14"/>
  <c r="C840" i="14"/>
  <c r="C253" i="14"/>
  <c r="C530" i="14"/>
  <c r="C841" i="14"/>
  <c r="C254" i="14"/>
  <c r="C531" i="14"/>
  <c r="C97" i="14"/>
  <c r="C385" i="14"/>
  <c r="C731" i="14"/>
  <c r="C190" i="14"/>
  <c r="C479" i="14"/>
  <c r="C11" i="14"/>
  <c r="C279" i="14"/>
  <c r="C581" i="14"/>
  <c r="C100" i="14"/>
  <c r="C372" i="14"/>
  <c r="C686" i="14"/>
  <c r="C193" i="14"/>
  <c r="C461" i="14"/>
  <c r="C807" i="14"/>
  <c r="C187" i="14"/>
  <c r="C367" i="14"/>
  <c r="C559" i="14"/>
  <c r="C763" i="14"/>
  <c r="C104" i="14"/>
  <c r="C296" i="14"/>
  <c r="C500" i="14"/>
  <c r="C680" i="14"/>
  <c r="C33" i="14"/>
  <c r="C249" i="14"/>
  <c r="C453" i="14"/>
  <c r="C681" i="14"/>
  <c r="C730" i="14"/>
  <c r="C580" i="14"/>
  <c r="C784" i="14"/>
  <c r="C174" i="14"/>
  <c r="C378" i="14"/>
  <c r="C606" i="14"/>
  <c r="C810" i="14"/>
  <c r="C671" i="14"/>
  <c r="C34" i="14"/>
  <c r="C383" i="14"/>
  <c r="C786" i="14"/>
  <c r="C642" i="14"/>
  <c r="C498" i="14"/>
  <c r="C354" i="14"/>
  <c r="C210" i="14"/>
  <c r="C66" i="14"/>
  <c r="C760" i="14"/>
  <c r="C616" i="14"/>
  <c r="C472" i="14"/>
  <c r="C706" i="14"/>
  <c r="C717" i="14"/>
  <c r="C573" i="14"/>
  <c r="C429" i="14"/>
  <c r="C285" i="14"/>
  <c r="C141" i="14"/>
  <c r="C836" i="14"/>
  <c r="C692" i="14"/>
  <c r="C548" i="14"/>
  <c r="C404" i="14"/>
  <c r="C260" i="14"/>
  <c r="C116" i="14"/>
  <c r="C811" i="14"/>
  <c r="C667" i="14"/>
  <c r="C523" i="14"/>
  <c r="C379" i="14"/>
  <c r="C235" i="14"/>
  <c r="C91" i="14"/>
  <c r="C735" i="14"/>
  <c r="C482" i="14"/>
  <c r="C265" i="14"/>
  <c r="C49" i="14"/>
  <c r="C625" i="14"/>
  <c r="C388" i="14"/>
  <c r="C172" i="14"/>
  <c r="C781" i="14"/>
  <c r="C519" i="14"/>
  <c r="C299" i="14"/>
  <c r="C83" i="14"/>
  <c r="C662" i="14"/>
  <c r="C422" i="14"/>
  <c r="C206" i="14"/>
  <c r="C827" i="14"/>
  <c r="C557" i="14"/>
  <c r="C329" i="14"/>
  <c r="C113" i="14"/>
  <c r="C614" i="14"/>
  <c r="C382" i="14"/>
  <c r="C166" i="14"/>
  <c r="C769" i="14"/>
  <c r="C509" i="14"/>
  <c r="C289" i="14"/>
  <c r="C73" i="14"/>
  <c r="C651" i="14"/>
  <c r="C412" i="14"/>
  <c r="C196" i="14"/>
  <c r="C815" i="14"/>
  <c r="C550" i="14"/>
  <c r="C323" i="14"/>
  <c r="C107" i="14"/>
  <c r="C328" i="14"/>
  <c r="C327" i="14"/>
  <c r="C250" i="14"/>
  <c r="C148" i="14"/>
  <c r="C76" i="14"/>
  <c r="C14" i="14"/>
  <c r="C5" i="14"/>
  <c r="C39" i="14"/>
  <c r="C86" i="14"/>
  <c r="C230" i="14"/>
  <c r="C446" i="14"/>
  <c r="C358" i="14"/>
  <c r="C214" i="14"/>
  <c r="C714" i="14"/>
  <c r="C570" i="14"/>
  <c r="C426" i="14"/>
  <c r="C282" i="14"/>
  <c r="C138" i="14"/>
  <c r="C832" i="14"/>
  <c r="C688" i="14"/>
  <c r="C544" i="14"/>
  <c r="C778" i="14"/>
  <c r="C789" i="14"/>
  <c r="C645" i="14"/>
  <c r="C501" i="14"/>
  <c r="C357" i="14"/>
  <c r="C213" i="14"/>
  <c r="C69" i="14"/>
  <c r="C764" i="14"/>
  <c r="C620" i="14"/>
  <c r="C476" i="14"/>
  <c r="C332" i="14"/>
  <c r="C188" i="14"/>
  <c r="C44" i="14"/>
  <c r="C739" i="14"/>
  <c r="C595" i="14"/>
  <c r="C451" i="14"/>
  <c r="C307" i="14"/>
  <c r="C163" i="14"/>
  <c r="C19" i="14"/>
  <c r="C605" i="14"/>
  <c r="C373" i="14"/>
  <c r="C157" i="14"/>
  <c r="C758" i="14"/>
  <c r="C503" i="14"/>
  <c r="C280" i="14"/>
  <c r="C64" i="14"/>
  <c r="C646" i="14"/>
  <c r="C407" i="14"/>
  <c r="C191" i="14"/>
  <c r="C804" i="14"/>
  <c r="C540" i="14"/>
  <c r="C314" i="14"/>
  <c r="C98" i="14"/>
  <c r="C683" i="14"/>
  <c r="C437" i="14"/>
  <c r="C221" i="14"/>
  <c r="C746" i="14"/>
  <c r="C492" i="14"/>
  <c r="C274" i="14"/>
  <c r="C58" i="14"/>
  <c r="C635" i="14"/>
  <c r="C397" i="14"/>
  <c r="C181" i="14"/>
  <c r="C792" i="14"/>
  <c r="C529" i="14"/>
  <c r="C304" i="14"/>
  <c r="C88" i="14"/>
  <c r="C672" i="14"/>
  <c r="C431" i="14"/>
  <c r="C215" i="14"/>
  <c r="C821" i="14"/>
  <c r="C819" i="14"/>
  <c r="C713" i="14"/>
  <c r="C599" i="14"/>
  <c r="C515" i="14"/>
  <c r="C420" i="14"/>
  <c r="C419" i="14"/>
  <c r="C410" i="14"/>
  <c r="C456" i="14"/>
  <c r="C533" i="14"/>
  <c r="C430" i="14"/>
  <c r="C702" i="14"/>
  <c r="C558" i="14"/>
  <c r="C414" i="14"/>
  <c r="C270" i="14"/>
  <c r="C126" i="14"/>
  <c r="C820" i="14"/>
  <c r="C676" i="14"/>
  <c r="C532" i="14"/>
  <c r="C766" i="14"/>
  <c r="C777" i="14"/>
  <c r="C633" i="14"/>
  <c r="C489" i="14"/>
  <c r="C345" i="14"/>
  <c r="C201" i="14"/>
  <c r="C588" i="14"/>
  <c r="C158" i="14"/>
  <c r="C834" i="14"/>
  <c r="C690" i="14"/>
  <c r="C546" i="14"/>
  <c r="C402" i="14"/>
  <c r="C258" i="14"/>
  <c r="C114" i="14"/>
  <c r="C808" i="14"/>
  <c r="C664" i="14"/>
  <c r="C520" i="14"/>
  <c r="C754" i="14"/>
  <c r="C765" i="14"/>
  <c r="C621" i="14"/>
  <c r="C477" i="14"/>
  <c r="C333" i="14"/>
  <c r="C189" i="14"/>
  <c r="C45" i="14"/>
  <c r="C740" i="14"/>
  <c r="C596" i="14"/>
  <c r="C452" i="14"/>
  <c r="C308" i="14"/>
  <c r="C164" i="14"/>
  <c r="C20" i="14"/>
  <c r="C715" i="14"/>
  <c r="C571" i="14"/>
  <c r="C427" i="14"/>
  <c r="C283" i="14"/>
  <c r="C139" i="14"/>
  <c r="C831" i="14"/>
  <c r="C565" i="14"/>
  <c r="C337" i="14"/>
  <c r="C121" i="14"/>
  <c r="C710" i="14"/>
  <c r="C460" i="14"/>
  <c r="C244" i="14"/>
  <c r="C28" i="14"/>
  <c r="C602" i="14"/>
  <c r="C371" i="14"/>
  <c r="C155" i="14"/>
  <c r="C756" i="14"/>
  <c r="C497" i="14"/>
  <c r="C278" i="14"/>
  <c r="C62" i="14"/>
  <c r="C639" i="14"/>
  <c r="C401" i="14"/>
  <c r="C185" i="14"/>
  <c r="C698" i="14"/>
  <c r="P833" i="14"/>
  <c r="P821" i="14"/>
  <c r="P809" i="14"/>
  <c r="P797" i="14"/>
  <c r="P785" i="14"/>
  <c r="P773" i="14"/>
  <c r="P761" i="14"/>
  <c r="P749" i="14"/>
  <c r="P737" i="14"/>
  <c r="P725" i="14"/>
  <c r="P713" i="14"/>
  <c r="P701" i="14"/>
  <c r="P689" i="14"/>
  <c r="P677" i="14"/>
  <c r="P665" i="14"/>
  <c r="P653" i="14"/>
  <c r="P641" i="14"/>
  <c r="P629" i="14"/>
  <c r="P617" i="14"/>
  <c r="P605" i="14"/>
  <c r="P593" i="14"/>
  <c r="P581" i="14"/>
  <c r="P569" i="14"/>
  <c r="P557" i="14"/>
  <c r="P545" i="14"/>
  <c r="P533" i="14"/>
  <c r="P521" i="14"/>
  <c r="P509" i="14"/>
  <c r="P497" i="14"/>
  <c r="P485" i="14"/>
  <c r="P473" i="14"/>
  <c r="P461" i="14"/>
  <c r="P449" i="14"/>
  <c r="P437" i="14"/>
  <c r="P425" i="14"/>
  <c r="P413" i="14"/>
  <c r="P401" i="14"/>
  <c r="P389" i="14"/>
  <c r="P377" i="14"/>
  <c r="P365" i="14"/>
  <c r="P353" i="14"/>
  <c r="P341" i="14"/>
  <c r="P329" i="14"/>
  <c r="P317" i="14"/>
  <c r="P305" i="14"/>
  <c r="P293" i="14"/>
  <c r="P281" i="14"/>
  <c r="P269" i="14"/>
  <c r="P257" i="14"/>
  <c r="P245" i="14"/>
  <c r="P233" i="14"/>
  <c r="P221" i="14"/>
  <c r="P209" i="14"/>
  <c r="P197" i="14"/>
  <c r="P185" i="14"/>
  <c r="P173" i="14"/>
  <c r="P161" i="14"/>
  <c r="P149" i="14"/>
  <c r="P137" i="14"/>
  <c r="P125" i="14"/>
  <c r="P113" i="14"/>
  <c r="P101" i="14"/>
  <c r="P89" i="14"/>
  <c r="P77" i="14"/>
  <c r="P65" i="14"/>
  <c r="P53" i="14"/>
  <c r="P41" i="14"/>
  <c r="P29" i="14"/>
  <c r="P17" i="14"/>
  <c r="P5" i="14"/>
  <c r="P843" i="14"/>
  <c r="P830" i="14"/>
  <c r="P817" i="14"/>
  <c r="P804" i="14"/>
  <c r="P791" i="14"/>
  <c r="P778" i="14"/>
  <c r="P765" i="14"/>
  <c r="P752" i="14"/>
  <c r="P739" i="14"/>
  <c r="P726" i="14"/>
  <c r="P712" i="14"/>
  <c r="P699" i="14"/>
  <c r="P686" i="14"/>
  <c r="P673" i="14"/>
  <c r="P660" i="14"/>
  <c r="P647" i="14"/>
  <c r="P634" i="14"/>
  <c r="P621" i="14"/>
  <c r="P608" i="14"/>
  <c r="P595" i="14"/>
  <c r="P582" i="14"/>
  <c r="P568" i="14"/>
  <c r="P555" i="14"/>
  <c r="P542" i="14"/>
  <c r="P529" i="14"/>
  <c r="P516" i="14"/>
  <c r="P503" i="14"/>
  <c r="P490" i="14"/>
  <c r="P477" i="14"/>
  <c r="P464" i="14"/>
  <c r="P451" i="14"/>
  <c r="P438" i="14"/>
  <c r="P424" i="14"/>
  <c r="P411" i="14"/>
  <c r="P398" i="14"/>
  <c r="P385" i="14"/>
  <c r="P372" i="14"/>
  <c r="P359" i="14"/>
  <c r="P346" i="14"/>
  <c r="P333" i="14"/>
  <c r="P320" i="14"/>
  <c r="P307" i="14"/>
  <c r="P294" i="14"/>
  <c r="P280" i="14"/>
  <c r="P267" i="14"/>
  <c r="P254" i="14"/>
  <c r="P241" i="14"/>
  <c r="P228" i="14"/>
  <c r="P215" i="14"/>
  <c r="P202" i="14"/>
  <c r="P189" i="14"/>
  <c r="P176" i="14"/>
  <c r="P163" i="14"/>
  <c r="P150" i="14"/>
  <c r="P136" i="14"/>
  <c r="P123" i="14"/>
  <c r="P110" i="14"/>
  <c r="P97" i="14"/>
  <c r="P84" i="14"/>
  <c r="P71" i="14"/>
  <c r="P58" i="14"/>
  <c r="P45" i="14"/>
  <c r="P32" i="14"/>
  <c r="P19" i="14"/>
  <c r="P6" i="14"/>
  <c r="P842" i="14"/>
  <c r="P829" i="14"/>
  <c r="P816" i="14"/>
  <c r="P803" i="14"/>
  <c r="P790" i="14"/>
  <c r="P777" i="14"/>
  <c r="P764" i="14"/>
  <c r="P751" i="14"/>
  <c r="P738" i="14"/>
  <c r="P724" i="14"/>
  <c r="P711" i="14"/>
  <c r="P698" i="14"/>
  <c r="P685" i="14"/>
  <c r="P672" i="14"/>
  <c r="P659" i="14"/>
  <c r="P646" i="14"/>
  <c r="P633" i="14"/>
  <c r="P620" i="14"/>
  <c r="P607" i="14"/>
  <c r="P594" i="14"/>
  <c r="P580" i="14"/>
  <c r="P567" i="14"/>
  <c r="P554" i="14"/>
  <c r="P541" i="14"/>
  <c r="P528" i="14"/>
  <c r="P515" i="14"/>
  <c r="P502" i="14"/>
  <c r="P489" i="14"/>
  <c r="P476" i="14"/>
  <c r="P463" i="14"/>
  <c r="P450" i="14"/>
  <c r="P436" i="14"/>
  <c r="P423" i="14"/>
  <c r="P410" i="14"/>
  <c r="P397" i="14"/>
  <c r="P384" i="14"/>
  <c r="P371" i="14"/>
  <c r="P358" i="14"/>
  <c r="P345" i="14"/>
  <c r="P332" i="14"/>
  <c r="P319" i="14"/>
  <c r="P831" i="14"/>
  <c r="P818" i="14"/>
  <c r="P805" i="14"/>
  <c r="P792" i="14"/>
  <c r="P779" i="14"/>
  <c r="P766" i="14"/>
  <c r="P753" i="14"/>
  <c r="P740" i="14"/>
  <c r="P727" i="14"/>
  <c r="P714" i="14"/>
  <c r="P700" i="14"/>
  <c r="P687" i="14"/>
  <c r="P674" i="14"/>
  <c r="P661" i="14"/>
  <c r="P648" i="14"/>
  <c r="P635" i="14"/>
  <c r="P622" i="14"/>
  <c r="P609" i="14"/>
  <c r="P596" i="14"/>
  <c r="P583" i="14"/>
  <c r="P570" i="14"/>
  <c r="P556" i="14"/>
  <c r="P543" i="14"/>
  <c r="P530" i="14"/>
  <c r="P517" i="14"/>
  <c r="P504" i="14"/>
  <c r="P491" i="14"/>
  <c r="P478" i="14"/>
  <c r="P465" i="14"/>
  <c r="P452" i="14"/>
  <c r="P439" i="14"/>
  <c r="P426" i="14"/>
  <c r="P412" i="14"/>
  <c r="P399" i="14"/>
  <c r="P386" i="14"/>
  <c r="P373" i="14"/>
  <c r="P360" i="14"/>
  <c r="P347" i="14"/>
  <c r="P334" i="14"/>
  <c r="P321" i="14"/>
  <c r="P308" i="14"/>
  <c r="P295" i="14"/>
  <c r="P282" i="14"/>
  <c r="P268" i="14"/>
  <c r="P255" i="14"/>
  <c r="P242" i="14"/>
  <c r="P229" i="14"/>
  <c r="P216" i="14"/>
  <c r="P203" i="14"/>
  <c r="P190" i="14"/>
  <c r="P177" i="14"/>
  <c r="P164" i="14"/>
  <c r="P151" i="14"/>
  <c r="P138" i="14"/>
  <c r="P124" i="14"/>
  <c r="P111" i="14"/>
  <c r="P98" i="14"/>
  <c r="P85" i="14"/>
  <c r="P72" i="14"/>
  <c r="P59" i="14"/>
  <c r="P46" i="14"/>
  <c r="P33" i="14"/>
  <c r="P20" i="14"/>
  <c r="P7" i="14"/>
  <c r="P841" i="14"/>
  <c r="P825" i="14"/>
  <c r="P808" i="14"/>
  <c r="P789" i="14"/>
  <c r="P772" i="14"/>
  <c r="P756" i="14"/>
  <c r="P736" i="14"/>
  <c r="P720" i="14"/>
  <c r="P704" i="14"/>
  <c r="P684" i="14"/>
  <c r="P668" i="14"/>
  <c r="P651" i="14"/>
  <c r="P632" i="14"/>
  <c r="P615" i="14"/>
  <c r="P599" i="14"/>
  <c r="P579" i="14"/>
  <c r="P563" i="14"/>
  <c r="P547" i="14"/>
  <c r="P527" i="14"/>
  <c r="P511" i="14"/>
  <c r="P494" i="14"/>
  <c r="P475" i="14"/>
  <c r="P458" i="14"/>
  <c r="P442" i="14"/>
  <c r="P422" i="14"/>
  <c r="P406" i="14"/>
  <c r="P390" i="14"/>
  <c r="P370" i="14"/>
  <c r="P354" i="14"/>
  <c r="P337" i="14"/>
  <c r="P318" i="14"/>
  <c r="P302" i="14"/>
  <c r="P287" i="14"/>
  <c r="P272" i="14"/>
  <c r="P256" i="14"/>
  <c r="P239" i="14"/>
  <c r="P224" i="14"/>
  <c r="P208" i="14"/>
  <c r="P193" i="14"/>
  <c r="P178" i="14"/>
  <c r="P160" i="14"/>
  <c r="P145" i="14"/>
  <c r="P130" i="14"/>
  <c r="P115" i="14"/>
  <c r="P99" i="14"/>
  <c r="P82" i="14"/>
  <c r="P67" i="14"/>
  <c r="P51" i="14"/>
  <c r="P36" i="14"/>
  <c r="P21" i="14"/>
  <c r="P4" i="14"/>
  <c r="P840" i="14"/>
  <c r="P823" i="14"/>
  <c r="P802" i="14"/>
  <c r="P784" i="14"/>
  <c r="P767" i="14"/>
  <c r="P746" i="14"/>
  <c r="P729" i="14"/>
  <c r="P708" i="14"/>
  <c r="P691" i="14"/>
  <c r="P670" i="14"/>
  <c r="P652" i="14"/>
  <c r="P631" i="14"/>
  <c r="P613" i="14"/>
  <c r="P592" i="14"/>
  <c r="P575" i="14"/>
  <c r="P558" i="14"/>
  <c r="P537" i="14"/>
  <c r="P519" i="14"/>
  <c r="P499" i="14"/>
  <c r="P481" i="14"/>
  <c r="P460" i="14"/>
  <c r="P443" i="14"/>
  <c r="P421" i="14"/>
  <c r="P404" i="14"/>
  <c r="P383" i="14"/>
  <c r="P366" i="14"/>
  <c r="P348" i="14"/>
  <c r="P327" i="14"/>
  <c r="P310" i="14"/>
  <c r="P291" i="14"/>
  <c r="P275" i="14"/>
  <c r="P259" i="14"/>
  <c r="P240" i="14"/>
  <c r="P223" i="14"/>
  <c r="P206" i="14"/>
  <c r="P188" i="14"/>
  <c r="P171" i="14"/>
  <c r="P155" i="14"/>
  <c r="P139" i="14"/>
  <c r="P120" i="14"/>
  <c r="P104" i="14"/>
  <c r="P87" i="14"/>
  <c r="P69" i="14"/>
  <c r="P52" i="14"/>
  <c r="P35" i="14"/>
  <c r="P16" i="14"/>
  <c r="P839" i="14"/>
  <c r="P822" i="14"/>
  <c r="P801" i="14"/>
  <c r="P783" i="14"/>
  <c r="P763" i="14"/>
  <c r="P745" i="14"/>
  <c r="P728" i="14"/>
  <c r="P707" i="14"/>
  <c r="P690" i="14"/>
  <c r="P669" i="14"/>
  <c r="P650" i="14"/>
  <c r="P630" i="14"/>
  <c r="P612" i="14"/>
  <c r="P591" i="14"/>
  <c r="P574" i="14"/>
  <c r="P553" i="14"/>
  <c r="P536" i="14"/>
  <c r="P518" i="14"/>
  <c r="P498" i="14"/>
  <c r="P480" i="14"/>
  <c r="P459" i="14"/>
  <c r="P441" i="14"/>
  <c r="P420" i="14"/>
  <c r="P403" i="14"/>
  <c r="P382" i="14"/>
  <c r="P364" i="14"/>
  <c r="P344" i="14"/>
  <c r="P326" i="14"/>
  <c r="P309" i="14"/>
  <c r="P290" i="14"/>
  <c r="P274" i="14"/>
  <c r="P258" i="14"/>
  <c r="P238" i="14"/>
  <c r="P222" i="14"/>
  <c r="P205" i="14"/>
  <c r="P187" i="14"/>
  <c r="P170" i="14"/>
  <c r="P154" i="14"/>
  <c r="P135" i="14"/>
  <c r="P119" i="14"/>
  <c r="P103" i="14"/>
  <c r="P86" i="14"/>
  <c r="P68" i="14"/>
  <c r="P50" i="14"/>
  <c r="P34" i="14"/>
  <c r="P15" i="14"/>
  <c r="P824" i="14"/>
  <c r="P806" i="14"/>
  <c r="P786" i="14"/>
  <c r="P768" i="14"/>
  <c r="P747" i="14"/>
  <c r="P730" i="14"/>
  <c r="P709" i="14"/>
  <c r="P692" i="14"/>
  <c r="P671" i="14"/>
  <c r="P654" i="14"/>
  <c r="P636" i="14"/>
  <c r="P614" i="14"/>
  <c r="P597" i="14"/>
  <c r="P576" i="14"/>
  <c r="P559" i="14"/>
  <c r="P538" i="14"/>
  <c r="P520" i="14"/>
  <c r="P500" i="14"/>
  <c r="P482" i="14"/>
  <c r="P462" i="14"/>
  <c r="P444" i="14"/>
  <c r="P427" i="14"/>
  <c r="P405" i="14"/>
  <c r="P387" i="14"/>
  <c r="P367" i="14"/>
  <c r="P349" i="14"/>
  <c r="P328" i="14"/>
  <c r="P311" i="14"/>
  <c r="P292" i="14"/>
  <c r="P276" i="14"/>
  <c r="P260" i="14"/>
  <c r="P243" i="14"/>
  <c r="P225" i="14"/>
  <c r="P207" i="14"/>
  <c r="P191" i="14"/>
  <c r="P172" i="14"/>
  <c r="P156" i="14"/>
  <c r="P140" i="14"/>
  <c r="P121" i="14"/>
  <c r="P105" i="14"/>
  <c r="P88" i="14"/>
  <c r="P70" i="14"/>
  <c r="P54" i="14"/>
  <c r="P37" i="14"/>
  <c r="P18" i="14"/>
  <c r="P832" i="14"/>
  <c r="P807" i="14"/>
  <c r="P780" i="14"/>
  <c r="P755" i="14"/>
  <c r="P731" i="14"/>
  <c r="P703" i="14"/>
  <c r="P679" i="14"/>
  <c r="P655" i="14"/>
  <c r="P626" i="14"/>
  <c r="P602" i="14"/>
  <c r="P577" i="14"/>
  <c r="P550" i="14"/>
  <c r="P525" i="14"/>
  <c r="P501" i="14"/>
  <c r="P472" i="14"/>
  <c r="P448" i="14"/>
  <c r="P428" i="14"/>
  <c r="P396" i="14"/>
  <c r="P375" i="14"/>
  <c r="P350" i="14"/>
  <c r="P323" i="14"/>
  <c r="P299" i="14"/>
  <c r="P277" i="14"/>
  <c r="P251" i="14"/>
  <c r="P231" i="14"/>
  <c r="P210" i="14"/>
  <c r="P183" i="14"/>
  <c r="P162" i="14"/>
  <c r="P141" i="14"/>
  <c r="P116" i="14"/>
  <c r="P93" i="14"/>
  <c r="P73" i="14"/>
  <c r="P47" i="14"/>
  <c r="P25" i="14"/>
  <c r="P820" i="14"/>
  <c r="P796" i="14"/>
  <c r="P771" i="14"/>
  <c r="P744" i="14"/>
  <c r="P719" i="14"/>
  <c r="P695" i="14"/>
  <c r="P667" i="14"/>
  <c r="P643" i="14"/>
  <c r="P619" i="14"/>
  <c r="P590" i="14"/>
  <c r="P566" i="14"/>
  <c r="P544" i="14"/>
  <c r="P514" i="14"/>
  <c r="P492" i="14"/>
  <c r="P468" i="14"/>
  <c r="P440" i="14"/>
  <c r="P416" i="14"/>
  <c r="P392" i="14"/>
  <c r="P363" i="14"/>
  <c r="P339" i="14"/>
  <c r="P314" i="14"/>
  <c r="P289" i="14"/>
  <c r="P266" i="14"/>
  <c r="P247" i="14"/>
  <c r="P220" i="14"/>
  <c r="P199" i="14"/>
  <c r="P179" i="14"/>
  <c r="P153" i="14"/>
  <c r="P131" i="14"/>
  <c r="P108" i="14"/>
  <c r="P83" i="14"/>
  <c r="P62" i="14"/>
  <c r="P40" i="14"/>
  <c r="P14" i="14"/>
  <c r="P838" i="14"/>
  <c r="P812" i="14"/>
  <c r="P781" i="14"/>
  <c r="P750" i="14"/>
  <c r="P718" i="14"/>
  <c r="P688" i="14"/>
  <c r="P658" i="14"/>
  <c r="P627" i="14"/>
  <c r="P600" i="14"/>
  <c r="P565" i="14"/>
  <c r="P535" i="14"/>
  <c r="P507" i="14"/>
  <c r="P474" i="14"/>
  <c r="P446" i="14"/>
  <c r="P415" i="14"/>
  <c r="P381" i="14"/>
  <c r="P355" i="14"/>
  <c r="P324" i="14"/>
  <c r="P297" i="14"/>
  <c r="P265" i="14"/>
  <c r="P237" i="14"/>
  <c r="P213" i="14"/>
  <c r="P184" i="14"/>
  <c r="P158" i="14"/>
  <c r="P129" i="14"/>
  <c r="P102" i="14"/>
  <c r="P76" i="14"/>
  <c r="P48" i="14"/>
  <c r="P23" i="14"/>
  <c r="P837" i="14"/>
  <c r="P811" i="14"/>
  <c r="P776" i="14"/>
  <c r="P748" i="14"/>
  <c r="P717" i="14"/>
  <c r="P683" i="14"/>
  <c r="P657" i="14"/>
  <c r="P625" i="14"/>
  <c r="P598" i="14"/>
  <c r="P564" i="14"/>
  <c r="P534" i="14"/>
  <c r="P506" i="14"/>
  <c r="P471" i="14"/>
  <c r="P445" i="14"/>
  <c r="P414" i="14"/>
  <c r="P380" i="14"/>
  <c r="P352" i="14"/>
  <c r="P322" i="14"/>
  <c r="P296" i="14"/>
  <c r="P264" i="14"/>
  <c r="P236" i="14"/>
  <c r="P212" i="14"/>
  <c r="P182" i="14"/>
  <c r="P157" i="14"/>
  <c r="P128" i="14"/>
  <c r="P100" i="14"/>
  <c r="P75" i="14"/>
  <c r="P44" i="14"/>
  <c r="P22" i="14"/>
  <c r="P828" i="14"/>
  <c r="P798" i="14"/>
  <c r="P769" i="14"/>
  <c r="P735" i="14"/>
  <c r="P706" i="14"/>
  <c r="P678" i="14"/>
  <c r="P644" i="14"/>
  <c r="P616" i="14"/>
  <c r="P586" i="14"/>
  <c r="P552" i="14"/>
  <c r="P524" i="14"/>
  <c r="P493" i="14"/>
  <c r="P466" i="14"/>
  <c r="P432" i="14"/>
  <c r="P402" i="14"/>
  <c r="P374" i="14"/>
  <c r="P340" i="14"/>
  <c r="P312" i="14"/>
  <c r="P284" i="14"/>
  <c r="P253" i="14"/>
  <c r="P230" i="14"/>
  <c r="P200" i="14"/>
  <c r="P174" i="14"/>
  <c r="P146" i="14"/>
  <c r="P118" i="14"/>
  <c r="P92" i="14"/>
  <c r="P63" i="14"/>
  <c r="P38" i="14"/>
  <c r="P10" i="14"/>
  <c r="P815" i="14"/>
  <c r="P788" i="14"/>
  <c r="P758" i="14"/>
  <c r="P723" i="14"/>
  <c r="P696" i="14"/>
  <c r="P664" i="14"/>
  <c r="P638" i="14"/>
  <c r="P604" i="14"/>
  <c r="P573" i="14"/>
  <c r="P546" i="14"/>
  <c r="P512" i="14"/>
  <c r="P484" i="14"/>
  <c r="P454" i="14"/>
  <c r="P419" i="14"/>
  <c r="P393" i="14"/>
  <c r="P361" i="14"/>
  <c r="P331" i="14"/>
  <c r="P301" i="14"/>
  <c r="P273" i="14"/>
  <c r="P248" i="14"/>
  <c r="P218" i="14"/>
  <c r="P194" i="14"/>
  <c r="P166" i="14"/>
  <c r="P134" i="14"/>
  <c r="P109" i="14"/>
  <c r="P80" i="14"/>
  <c r="P56" i="14"/>
  <c r="P27" i="14"/>
  <c r="P814" i="14"/>
  <c r="P787" i="14"/>
  <c r="P757" i="14"/>
  <c r="P722" i="14"/>
  <c r="P694" i="14"/>
  <c r="P663" i="14"/>
  <c r="P637" i="14"/>
  <c r="P603" i="14"/>
  <c r="P572" i="14"/>
  <c r="P540" i="14"/>
  <c r="P510" i="14"/>
  <c r="P483" i="14"/>
  <c r="P453" i="14"/>
  <c r="P418" i="14"/>
  <c r="P391" i="14"/>
  <c r="P357" i="14"/>
  <c r="P330" i="14"/>
  <c r="P300" i="14"/>
  <c r="P271" i="14"/>
  <c r="P246" i="14"/>
  <c r="P217" i="14"/>
  <c r="P192" i="14"/>
  <c r="P165" i="14"/>
  <c r="P133" i="14"/>
  <c r="P107" i="14"/>
  <c r="P79" i="14"/>
  <c r="P55" i="14"/>
  <c r="P26" i="14"/>
  <c r="P813" i="14"/>
  <c r="P782" i="14"/>
  <c r="P754" i="14"/>
  <c r="P721" i="14"/>
  <c r="P693" i="14"/>
  <c r="P662" i="14"/>
  <c r="P628" i="14"/>
  <c r="P601" i="14"/>
  <c r="P571" i="14"/>
  <c r="P539" i="14"/>
  <c r="P508" i="14"/>
  <c r="P479" i="14"/>
  <c r="P447" i="14"/>
  <c r="P417" i="14"/>
  <c r="P388" i="14"/>
  <c r="P356" i="14"/>
  <c r="P325" i="14"/>
  <c r="P298" i="14"/>
  <c r="P270" i="14"/>
  <c r="P244" i="14"/>
  <c r="P214" i="14"/>
  <c r="P186" i="14"/>
  <c r="P159" i="14"/>
  <c r="P132" i="14"/>
  <c r="P106" i="14"/>
  <c r="P78" i="14"/>
  <c r="P49" i="14"/>
  <c r="P24" i="14"/>
  <c r="P836" i="14"/>
  <c r="P775" i="14"/>
  <c r="P716" i="14"/>
  <c r="P656" i="14"/>
  <c r="P589" i="14"/>
  <c r="P532" i="14"/>
  <c r="P470" i="14"/>
  <c r="P409" i="14"/>
  <c r="P351" i="14"/>
  <c r="P288" i="14"/>
  <c r="P235" i="14"/>
  <c r="P181" i="14"/>
  <c r="P127" i="14"/>
  <c r="P74" i="14"/>
  <c r="P13" i="14"/>
  <c r="P835" i="14"/>
  <c r="P774" i="14"/>
  <c r="P715" i="14"/>
  <c r="P649" i="14"/>
  <c r="P588" i="14"/>
  <c r="P531" i="14"/>
  <c r="P469" i="14"/>
  <c r="P408" i="14"/>
  <c r="P343" i="14"/>
  <c r="P286" i="14"/>
  <c r="P234" i="14"/>
  <c r="P180" i="14"/>
  <c r="P126" i="14"/>
  <c r="P66" i="14"/>
  <c r="P12" i="14"/>
  <c r="P819" i="14"/>
  <c r="P759" i="14"/>
  <c r="P697" i="14"/>
  <c r="P639" i="14"/>
  <c r="P578" i="14"/>
  <c r="P513" i="14"/>
  <c r="P455" i="14"/>
  <c r="P394" i="14"/>
  <c r="P335" i="14"/>
  <c r="P278" i="14"/>
  <c r="P219" i="14"/>
  <c r="P167" i="14"/>
  <c r="P112" i="14"/>
  <c r="P57" i="14"/>
  <c r="P795" i="14"/>
  <c r="P734" i="14"/>
  <c r="P676" i="14"/>
  <c r="P611" i="14"/>
  <c r="P551" i="14"/>
  <c r="P488" i="14"/>
  <c r="P431" i="14"/>
  <c r="P369" i="14"/>
  <c r="P306" i="14"/>
  <c r="P252" i="14"/>
  <c r="P198" i="14"/>
  <c r="P144" i="14"/>
  <c r="P91" i="14"/>
  <c r="P31" i="14"/>
  <c r="P834" i="14"/>
  <c r="P742" i="14"/>
  <c r="P645" i="14"/>
  <c r="P561" i="14"/>
  <c r="P467" i="14"/>
  <c r="P378" i="14"/>
  <c r="P285" i="14"/>
  <c r="P204" i="14"/>
  <c r="P122" i="14"/>
  <c r="P42" i="14"/>
  <c r="P762" i="14"/>
  <c r="P680" i="14"/>
  <c r="P585" i="14"/>
  <c r="P495" i="14"/>
  <c r="P400" i="14"/>
  <c r="P313" i="14"/>
  <c r="P227" i="14"/>
  <c r="P147" i="14"/>
  <c r="P61" i="14"/>
  <c r="P743" i="14"/>
  <c r="P666" i="14"/>
  <c r="P562" i="14"/>
  <c r="P486" i="14"/>
  <c r="P379" i="14"/>
  <c r="P303" i="14"/>
  <c r="P211" i="14"/>
  <c r="P142" i="14"/>
  <c r="P43" i="14"/>
  <c r="P810" i="14"/>
  <c r="P702" i="14"/>
  <c r="P584" i="14"/>
  <c r="P435" i="14"/>
  <c r="P336" i="14"/>
  <c r="P226" i="14"/>
  <c r="P96" i="14"/>
  <c r="P8" i="14"/>
  <c r="P794" i="14"/>
  <c r="P675" i="14"/>
  <c r="P548" i="14"/>
  <c r="P430" i="14"/>
  <c r="P304" i="14"/>
  <c r="P195" i="14"/>
  <c r="P90" i="14"/>
  <c r="P741" i="14"/>
  <c r="P623" i="14"/>
  <c r="P505" i="14"/>
  <c r="P376" i="14"/>
  <c r="P262" i="14"/>
  <c r="P152" i="14"/>
  <c r="P39" i="14"/>
  <c r="P733" i="14"/>
  <c r="P618" i="14"/>
  <c r="P496" i="14"/>
  <c r="P368" i="14"/>
  <c r="P261" i="14"/>
  <c r="P148" i="14"/>
  <c r="P30" i="14"/>
  <c r="P827" i="14"/>
  <c r="P642" i="14"/>
  <c r="P457" i="14"/>
  <c r="P283" i="14"/>
  <c r="P117" i="14"/>
  <c r="P826" i="14"/>
  <c r="P640" i="14"/>
  <c r="P456" i="14"/>
  <c r="P279" i="14"/>
  <c r="P114" i="14"/>
  <c r="P705" i="14"/>
  <c r="P523" i="14"/>
  <c r="P338" i="14"/>
  <c r="P169" i="14"/>
  <c r="P9" i="14"/>
  <c r="P682" i="14"/>
  <c r="P522" i="14"/>
  <c r="P316" i="14"/>
  <c r="P168" i="14"/>
  <c r="P681" i="14"/>
  <c r="P487" i="14"/>
  <c r="P315" i="14"/>
  <c r="P143" i="14"/>
  <c r="P800" i="14"/>
  <c r="P549" i="14"/>
  <c r="P232" i="14"/>
  <c r="P799" i="14"/>
  <c r="P526" i="14"/>
  <c r="P201" i="14"/>
  <c r="P732" i="14"/>
  <c r="P407" i="14"/>
  <c r="P94" i="14"/>
  <c r="P606" i="14"/>
  <c r="P263" i="14"/>
  <c r="P28" i="14"/>
  <c r="P587" i="14"/>
  <c r="P250" i="14"/>
  <c r="P11" i="14"/>
  <c r="P560" i="14"/>
  <c r="P249" i="14"/>
  <c r="P793" i="14"/>
  <c r="P196" i="14"/>
  <c r="P770" i="14"/>
  <c r="P175" i="14"/>
  <c r="P760" i="14"/>
  <c r="P95" i="14"/>
  <c r="P610" i="14"/>
  <c r="P60" i="14"/>
  <c r="P429" i="14"/>
  <c r="P395" i="14"/>
  <c r="P362" i="14"/>
  <c r="P342" i="14"/>
  <c r="P710" i="14"/>
  <c r="P624" i="14"/>
  <c r="P64" i="14"/>
  <c r="P434" i="14"/>
  <c r="P433" i="14"/>
  <c r="P81" i="14"/>
  <c r="E4" i="15"/>
  <c r="E2" i="14"/>
  <c r="X2" i="14"/>
  <c r="O834" i="14"/>
  <c r="O822" i="14"/>
  <c r="O810" i="14"/>
  <c r="O798" i="14"/>
  <c r="O786" i="14"/>
  <c r="O774" i="14"/>
  <c r="O762" i="14"/>
  <c r="O750" i="14"/>
  <c r="O738" i="14"/>
  <c r="O726" i="14"/>
  <c r="O714" i="14"/>
  <c r="O702" i="14"/>
  <c r="O690" i="14"/>
  <c r="O678" i="14"/>
  <c r="O666" i="14"/>
  <c r="O654" i="14"/>
  <c r="O642" i="14"/>
  <c r="O630" i="14"/>
  <c r="O618" i="14"/>
  <c r="O606" i="14"/>
  <c r="O594" i="14"/>
  <c r="O582" i="14"/>
  <c r="O570" i="14"/>
  <c r="O558" i="14"/>
  <c r="O546" i="14"/>
  <c r="O534" i="14"/>
  <c r="O522" i="14"/>
  <c r="O510" i="14"/>
  <c r="O498" i="14"/>
  <c r="O486" i="14"/>
  <c r="O474" i="14"/>
  <c r="O462" i="14"/>
  <c r="O833" i="14"/>
  <c r="O820" i="14"/>
  <c r="O807" i="14"/>
  <c r="O794" i="14"/>
  <c r="O781" i="14"/>
  <c r="O768" i="14"/>
  <c r="O755" i="14"/>
  <c r="O742" i="14"/>
  <c r="O729" i="14"/>
  <c r="O716" i="14"/>
  <c r="O703" i="14"/>
  <c r="O689" i="14"/>
  <c r="O676" i="14"/>
  <c r="O663" i="14"/>
  <c r="O650" i="14"/>
  <c r="O637" i="14"/>
  <c r="O624" i="14"/>
  <c r="O611" i="14"/>
  <c r="O598" i="14"/>
  <c r="O585" i="14"/>
  <c r="O835" i="14"/>
  <c r="O821" i="14"/>
  <c r="O808" i="14"/>
  <c r="O795" i="14"/>
  <c r="O782" i="14"/>
  <c r="O769" i="14"/>
  <c r="O756" i="14"/>
  <c r="O743" i="14"/>
  <c r="O730" i="14"/>
  <c r="O717" i="14"/>
  <c r="O704" i="14"/>
  <c r="O691" i="14"/>
  <c r="O677" i="14"/>
  <c r="O664" i="14"/>
  <c r="O651" i="14"/>
  <c r="O638" i="14"/>
  <c r="O625" i="14"/>
  <c r="O612" i="14"/>
  <c r="O599" i="14"/>
  <c r="O829" i="14"/>
  <c r="O814" i="14"/>
  <c r="O799" i="14"/>
  <c r="O783" i="14"/>
  <c r="O766" i="14"/>
  <c r="O751" i="14"/>
  <c r="O735" i="14"/>
  <c r="O720" i="14"/>
  <c r="O705" i="14"/>
  <c r="O687" i="14"/>
  <c r="O672" i="14"/>
  <c r="O657" i="14"/>
  <c r="O641" i="14"/>
  <c r="O626" i="14"/>
  <c r="O609" i="14"/>
  <c r="O593" i="14"/>
  <c r="O579" i="14"/>
  <c r="O566" i="14"/>
  <c r="O553" i="14"/>
  <c r="O540" i="14"/>
  <c r="O527" i="14"/>
  <c r="O514" i="14"/>
  <c r="O501" i="14"/>
  <c r="O488" i="14"/>
  <c r="O475" i="14"/>
  <c r="O461" i="14"/>
  <c r="O449" i="14"/>
  <c r="O437" i="14"/>
  <c r="O425" i="14"/>
  <c r="O413" i="14"/>
  <c r="O401" i="14"/>
  <c r="O389" i="14"/>
  <c r="O377" i="14"/>
  <c r="O365" i="14"/>
  <c r="O353" i="14"/>
  <c r="O341" i="14"/>
  <c r="O329" i="14"/>
  <c r="O317" i="14"/>
  <c r="O305" i="14"/>
  <c r="O293" i="14"/>
  <c r="O281" i="14"/>
  <c r="O269" i="14"/>
  <c r="O257" i="14"/>
  <c r="O245" i="14"/>
  <c r="O233" i="14"/>
  <c r="O221" i="14"/>
  <c r="O209" i="14"/>
  <c r="O197" i="14"/>
  <c r="O185" i="14"/>
  <c r="O173" i="14"/>
  <c r="O161" i="14"/>
  <c r="O149" i="14"/>
  <c r="O137" i="14"/>
  <c r="O125" i="14"/>
  <c r="O113" i="14"/>
  <c r="O101" i="14"/>
  <c r="O89" i="14"/>
  <c r="O77" i="14"/>
  <c r="O65" i="14"/>
  <c r="O53" i="14"/>
  <c r="O41" i="14"/>
  <c r="O29" i="14"/>
  <c r="O17" i="14"/>
  <c r="O5" i="14"/>
  <c r="O841" i="14"/>
  <c r="O825" i="14"/>
  <c r="O806" i="14"/>
  <c r="O790" i="14"/>
  <c r="O773" i="14"/>
  <c r="O757" i="14"/>
  <c r="O739" i="14"/>
  <c r="O722" i="14"/>
  <c r="O706" i="14"/>
  <c r="O686" i="14"/>
  <c r="O670" i="14"/>
  <c r="O653" i="14"/>
  <c r="O635" i="14"/>
  <c r="O619" i="14"/>
  <c r="O602" i="14"/>
  <c r="O586" i="14"/>
  <c r="O571" i="14"/>
  <c r="O556" i="14"/>
  <c r="O542" i="14"/>
  <c r="O528" i="14"/>
  <c r="O513" i="14"/>
  <c r="O499" i="14"/>
  <c r="O484" i="14"/>
  <c r="O470" i="14"/>
  <c r="O456" i="14"/>
  <c r="O443" i="14"/>
  <c r="O430" i="14"/>
  <c r="O417" i="14"/>
  <c r="O404" i="14"/>
  <c r="O391" i="14"/>
  <c r="O378" i="14"/>
  <c r="O364" i="14"/>
  <c r="O351" i="14"/>
  <c r="O338" i="14"/>
  <c r="O325" i="14"/>
  <c r="O312" i="14"/>
  <c r="O299" i="14"/>
  <c r="O286" i="14"/>
  <c r="O273" i="14"/>
  <c r="O260" i="14"/>
  <c r="O247" i="14"/>
  <c r="O234" i="14"/>
  <c r="O220" i="14"/>
  <c r="O207" i="14"/>
  <c r="O194" i="14"/>
  <c r="O181" i="14"/>
  <c r="O168" i="14"/>
  <c r="O155" i="14"/>
  <c r="O142" i="14"/>
  <c r="O129" i="14"/>
  <c r="O116" i="14"/>
  <c r="O103" i="14"/>
  <c r="O90" i="14"/>
  <c r="O76" i="14"/>
  <c r="O63" i="14"/>
  <c r="O50" i="14"/>
  <c r="O37" i="14"/>
  <c r="O24" i="14"/>
  <c r="O11" i="14"/>
  <c r="O840" i="14"/>
  <c r="O824" i="14"/>
  <c r="O805" i="14"/>
  <c r="O789" i="14"/>
  <c r="O772" i="14"/>
  <c r="O754" i="14"/>
  <c r="O737" i="14"/>
  <c r="O721" i="14"/>
  <c r="O701" i="14"/>
  <c r="O685" i="14"/>
  <c r="O669" i="14"/>
  <c r="O652" i="14"/>
  <c r="O634" i="14"/>
  <c r="O617" i="14"/>
  <c r="O601" i="14"/>
  <c r="O584" i="14"/>
  <c r="O569" i="14"/>
  <c r="O555" i="14"/>
  <c r="O541" i="14"/>
  <c r="O526" i="14"/>
  <c r="O512" i="14"/>
  <c r="O497" i="14"/>
  <c r="O483" i="14"/>
  <c r="O842" i="14"/>
  <c r="O826" i="14"/>
  <c r="O809" i="14"/>
  <c r="O791" i="14"/>
  <c r="O775" i="14"/>
  <c r="O758" i="14"/>
  <c r="O740" i="14"/>
  <c r="O723" i="14"/>
  <c r="O707" i="14"/>
  <c r="O688" i="14"/>
  <c r="O671" i="14"/>
  <c r="O655" i="14"/>
  <c r="O636" i="14"/>
  <c r="O620" i="14"/>
  <c r="O603" i="14"/>
  <c r="O587" i="14"/>
  <c r="O572" i="14"/>
  <c r="O557" i="14"/>
  <c r="O543" i="14"/>
  <c r="O529" i="14"/>
  <c r="O515" i="14"/>
  <c r="O500" i="14"/>
  <c r="O485" i="14"/>
  <c r="O471" i="14"/>
  <c r="O457" i="14"/>
  <c r="O444" i="14"/>
  <c r="O431" i="14"/>
  <c r="O418" i="14"/>
  <c r="O405" i="14"/>
  <c r="O392" i="14"/>
  <c r="O379" i="14"/>
  <c r="O366" i="14"/>
  <c r="O352" i="14"/>
  <c r="O339" i="14"/>
  <c r="O326" i="14"/>
  <c r="O313" i="14"/>
  <c r="O300" i="14"/>
  <c r="O287" i="14"/>
  <c r="O274" i="14"/>
  <c r="O261" i="14"/>
  <c r="O843" i="14"/>
  <c r="O818" i="14"/>
  <c r="O797" i="14"/>
  <c r="O776" i="14"/>
  <c r="O749" i="14"/>
  <c r="O728" i="14"/>
  <c r="O708" i="14"/>
  <c r="O682" i="14"/>
  <c r="O660" i="14"/>
  <c r="O639" i="14"/>
  <c r="O614" i="14"/>
  <c r="O591" i="14"/>
  <c r="O573" i="14"/>
  <c r="O551" i="14"/>
  <c r="O533" i="14"/>
  <c r="O516" i="14"/>
  <c r="O494" i="14"/>
  <c r="O477" i="14"/>
  <c r="O459" i="14"/>
  <c r="O442" i="14"/>
  <c r="O427" i="14"/>
  <c r="O411" i="14"/>
  <c r="O396" i="14"/>
  <c r="O381" i="14"/>
  <c r="O363" i="14"/>
  <c r="O348" i="14"/>
  <c r="O333" i="14"/>
  <c r="O318" i="14"/>
  <c r="O302" i="14"/>
  <c r="O285" i="14"/>
  <c r="O270" i="14"/>
  <c r="O254" i="14"/>
  <c r="O240" i="14"/>
  <c r="O226" i="14"/>
  <c r="O212" i="14"/>
  <c r="O198" i="14"/>
  <c r="O183" i="14"/>
  <c r="O169" i="14"/>
  <c r="O154" i="14"/>
  <c r="O140" i="14"/>
  <c r="O126" i="14"/>
  <c r="O111" i="14"/>
  <c r="O97" i="14"/>
  <c r="O83" i="14"/>
  <c r="O69" i="14"/>
  <c r="O55" i="14"/>
  <c r="O40" i="14"/>
  <c r="O26" i="14"/>
  <c r="O12" i="14"/>
  <c r="O836" i="14"/>
  <c r="O813" i="14"/>
  <c r="O788" i="14"/>
  <c r="O765" i="14"/>
  <c r="O745" i="14"/>
  <c r="O719" i="14"/>
  <c r="O697" i="14"/>
  <c r="O675" i="14"/>
  <c r="O649" i="14"/>
  <c r="O629" i="14"/>
  <c r="O607" i="14"/>
  <c r="O583" i="14"/>
  <c r="O564" i="14"/>
  <c r="O547" i="14"/>
  <c r="O525" i="14"/>
  <c r="O507" i="14"/>
  <c r="O490" i="14"/>
  <c r="O469" i="14"/>
  <c r="O453" i="14"/>
  <c r="O438" i="14"/>
  <c r="O422" i="14"/>
  <c r="O407" i="14"/>
  <c r="O390" i="14"/>
  <c r="O374" i="14"/>
  <c r="O359" i="14"/>
  <c r="O344" i="14"/>
  <c r="O328" i="14"/>
  <c r="O311" i="14"/>
  <c r="O296" i="14"/>
  <c r="O280" i="14"/>
  <c r="O265" i="14"/>
  <c r="O250" i="14"/>
  <c r="O236" i="14"/>
  <c r="O222" i="14"/>
  <c r="O206" i="14"/>
  <c r="O192" i="14"/>
  <c r="O178" i="14"/>
  <c r="O164" i="14"/>
  <c r="O150" i="14"/>
  <c r="O135" i="14"/>
  <c r="O121" i="14"/>
  <c r="O107" i="14"/>
  <c r="O93" i="14"/>
  <c r="O79" i="14"/>
  <c r="O64" i="14"/>
  <c r="O49" i="14"/>
  <c r="O35" i="14"/>
  <c r="O21" i="14"/>
  <c r="O7" i="14"/>
  <c r="O832" i="14"/>
  <c r="O804" i="14"/>
  <c r="O779" i="14"/>
  <c r="O752" i="14"/>
  <c r="O725" i="14"/>
  <c r="O696" i="14"/>
  <c r="O668" i="14"/>
  <c r="O644" i="14"/>
  <c r="O615" i="14"/>
  <c r="O589" i="14"/>
  <c r="O563" i="14"/>
  <c r="O539" i="14"/>
  <c r="O519" i="14"/>
  <c r="O495" i="14"/>
  <c r="O473" i="14"/>
  <c r="O452" i="14"/>
  <c r="O434" i="14"/>
  <c r="O415" i="14"/>
  <c r="O397" i="14"/>
  <c r="O376" i="14"/>
  <c r="O358" i="14"/>
  <c r="O340" i="14"/>
  <c r="O321" i="14"/>
  <c r="O303" i="14"/>
  <c r="O283" i="14"/>
  <c r="O264" i="14"/>
  <c r="O246" i="14"/>
  <c r="O229" i="14"/>
  <c r="O213" i="14"/>
  <c r="O195" i="14"/>
  <c r="O177" i="14"/>
  <c r="O160" i="14"/>
  <c r="O144" i="14"/>
  <c r="O127" i="14"/>
  <c r="O109" i="14"/>
  <c r="O92" i="14"/>
  <c r="O74" i="14"/>
  <c r="O58" i="14"/>
  <c r="O42" i="14"/>
  <c r="O23" i="14"/>
  <c r="O6" i="14"/>
  <c r="O831" i="14"/>
  <c r="O803" i="14"/>
  <c r="O778" i="14"/>
  <c r="O748" i="14"/>
  <c r="O724" i="14"/>
  <c r="O695" i="14"/>
  <c r="O667" i="14"/>
  <c r="O643" i="14"/>
  <c r="O613" i="14"/>
  <c r="O588" i="14"/>
  <c r="O562" i="14"/>
  <c r="O538" i="14"/>
  <c r="O518" i="14"/>
  <c r="O493" i="14"/>
  <c r="O472" i="14"/>
  <c r="O451" i="14"/>
  <c r="O433" i="14"/>
  <c r="O414" i="14"/>
  <c r="O395" i="14"/>
  <c r="O375" i="14"/>
  <c r="O357" i="14"/>
  <c r="O337" i="14"/>
  <c r="O320" i="14"/>
  <c r="O301" i="14"/>
  <c r="O282" i="14"/>
  <c r="O263" i="14"/>
  <c r="O244" i="14"/>
  <c r="O228" i="14"/>
  <c r="O211" i="14"/>
  <c r="O193" i="14"/>
  <c r="O176" i="14"/>
  <c r="O159" i="14"/>
  <c r="O143" i="14"/>
  <c r="O124" i="14"/>
  <c r="O108" i="14"/>
  <c r="O91" i="14"/>
  <c r="O73" i="14"/>
  <c r="O57" i="14"/>
  <c r="O39" i="14"/>
  <c r="O22" i="14"/>
  <c r="O823" i="14"/>
  <c r="O796" i="14"/>
  <c r="O767" i="14"/>
  <c r="O741" i="14"/>
  <c r="O712" i="14"/>
  <c r="O684" i="14"/>
  <c r="O659" i="14"/>
  <c r="O631" i="14"/>
  <c r="O604" i="14"/>
  <c r="O577" i="14"/>
  <c r="O554" i="14"/>
  <c r="O532" i="14"/>
  <c r="O508" i="14"/>
  <c r="O487" i="14"/>
  <c r="O465" i="14"/>
  <c r="O446" i="14"/>
  <c r="O426" i="14"/>
  <c r="O408" i="14"/>
  <c r="O387" i="14"/>
  <c r="O370" i="14"/>
  <c r="O350" i="14"/>
  <c r="O332" i="14"/>
  <c r="O314" i="14"/>
  <c r="O294" i="14"/>
  <c r="O276" i="14"/>
  <c r="O256" i="14"/>
  <c r="O239" i="14"/>
  <c r="O839" i="14"/>
  <c r="O815" i="14"/>
  <c r="O785" i="14"/>
  <c r="O760" i="14"/>
  <c r="O732" i="14"/>
  <c r="O700" i="14"/>
  <c r="O679" i="14"/>
  <c r="O647" i="14"/>
  <c r="O622" i="14"/>
  <c r="O595" i="14"/>
  <c r="O568" i="14"/>
  <c r="O548" i="14"/>
  <c r="O523" i="14"/>
  <c r="O503" i="14"/>
  <c r="O479" i="14"/>
  <c r="O458" i="14"/>
  <c r="O439" i="14"/>
  <c r="O420" i="14"/>
  <c r="O400" i="14"/>
  <c r="O383" i="14"/>
  <c r="O362" i="14"/>
  <c r="O345" i="14"/>
  <c r="O324" i="14"/>
  <c r="O307" i="14"/>
  <c r="O289" i="14"/>
  <c r="O268" i="14"/>
  <c r="O251" i="14"/>
  <c r="O232" i="14"/>
  <c r="O216" i="14"/>
  <c r="O200" i="14"/>
  <c r="O182" i="14"/>
  <c r="O165" i="14"/>
  <c r="O147" i="14"/>
  <c r="O131" i="14"/>
  <c r="O114" i="14"/>
  <c r="O96" i="14"/>
  <c r="O80" i="14"/>
  <c r="O61" i="14"/>
  <c r="O45" i="14"/>
  <c r="O28" i="14"/>
  <c r="O10" i="14"/>
  <c r="O838" i="14"/>
  <c r="O812" i="14"/>
  <c r="O784" i="14"/>
  <c r="O759" i="14"/>
  <c r="O731" i="14"/>
  <c r="O699" i="14"/>
  <c r="O674" i="14"/>
  <c r="O646" i="14"/>
  <c r="O621" i="14"/>
  <c r="O592" i="14"/>
  <c r="O567" i="14"/>
  <c r="O545" i="14"/>
  <c r="O521" i="14"/>
  <c r="O502" i="14"/>
  <c r="O478" i="14"/>
  <c r="O455" i="14"/>
  <c r="O436" i="14"/>
  <c r="O419" i="14"/>
  <c r="O399" i="14"/>
  <c r="O382" i="14"/>
  <c r="O361" i="14"/>
  <c r="O343" i="14"/>
  <c r="O323" i="14"/>
  <c r="O306" i="14"/>
  <c r="O288" i="14"/>
  <c r="O267" i="14"/>
  <c r="O249" i="14"/>
  <c r="O231" i="14"/>
  <c r="O215" i="14"/>
  <c r="O199" i="14"/>
  <c r="O180" i="14"/>
  <c r="O163" i="14"/>
  <c r="O146" i="14"/>
  <c r="O130" i="14"/>
  <c r="O112" i="14"/>
  <c r="O95" i="14"/>
  <c r="O78" i="14"/>
  <c r="O60" i="14"/>
  <c r="O44" i="14"/>
  <c r="O27" i="14"/>
  <c r="O9" i="14"/>
  <c r="O837" i="14"/>
  <c r="O811" i="14"/>
  <c r="O780" i="14"/>
  <c r="O753" i="14"/>
  <c r="O727" i="14"/>
  <c r="O698" i="14"/>
  <c r="O673" i="14"/>
  <c r="O645" i="14"/>
  <c r="O616" i="14"/>
  <c r="O590" i="14"/>
  <c r="O565" i="14"/>
  <c r="O544" i="14"/>
  <c r="O520" i="14"/>
  <c r="O496" i="14"/>
  <c r="O476" i="14"/>
  <c r="O454" i="14"/>
  <c r="O435" i="14"/>
  <c r="O416" i="14"/>
  <c r="O398" i="14"/>
  <c r="O380" i="14"/>
  <c r="O360" i="14"/>
  <c r="O342" i="14"/>
  <c r="O322" i="14"/>
  <c r="O304" i="14"/>
  <c r="O284" i="14"/>
  <c r="O266" i="14"/>
  <c r="O248" i="14"/>
  <c r="O230" i="14"/>
  <c r="O214" i="14"/>
  <c r="O196" i="14"/>
  <c r="O179" i="14"/>
  <c r="O162" i="14"/>
  <c r="O145" i="14"/>
  <c r="O128" i="14"/>
  <c r="O110" i="14"/>
  <c r="O94" i="14"/>
  <c r="O75" i="14"/>
  <c r="O59" i="14"/>
  <c r="O43" i="14"/>
  <c r="O25" i="14"/>
  <c r="O8" i="14"/>
  <c r="O802" i="14"/>
  <c r="O747" i="14"/>
  <c r="O694" i="14"/>
  <c r="O640" i="14"/>
  <c r="O581" i="14"/>
  <c r="O537" i="14"/>
  <c r="O492" i="14"/>
  <c r="O450" i="14"/>
  <c r="O412" i="14"/>
  <c r="O373" i="14"/>
  <c r="O336" i="14"/>
  <c r="O298" i="14"/>
  <c r="O262" i="14"/>
  <c r="O227" i="14"/>
  <c r="O202" i="14"/>
  <c r="O171" i="14"/>
  <c r="O139" i="14"/>
  <c r="O115" i="14"/>
  <c r="O84" i="14"/>
  <c r="O52" i="14"/>
  <c r="O20" i="14"/>
  <c r="O801" i="14"/>
  <c r="O746" i="14"/>
  <c r="O693" i="14"/>
  <c r="O633" i="14"/>
  <c r="O580" i="14"/>
  <c r="O536" i="14"/>
  <c r="O491" i="14"/>
  <c r="O448" i="14"/>
  <c r="O410" i="14"/>
  <c r="O372" i="14"/>
  <c r="O335" i="14"/>
  <c r="O297" i="14"/>
  <c r="O259" i="14"/>
  <c r="O225" i="14"/>
  <c r="O201" i="14"/>
  <c r="O170" i="14"/>
  <c r="O138" i="14"/>
  <c r="O106" i="14"/>
  <c r="O82" i="14"/>
  <c r="O51" i="14"/>
  <c r="O19" i="14"/>
  <c r="O819" i="14"/>
  <c r="O764" i="14"/>
  <c r="O711" i="14"/>
  <c r="O658" i="14"/>
  <c r="O600" i="14"/>
  <c r="O552" i="14"/>
  <c r="O506" i="14"/>
  <c r="O464" i="14"/>
  <c r="O424" i="14"/>
  <c r="O386" i="14"/>
  <c r="O349" i="14"/>
  <c r="O310" i="14"/>
  <c r="O275" i="14"/>
  <c r="O238" i="14"/>
  <c r="O205" i="14"/>
  <c r="O175" i="14"/>
  <c r="O151" i="14"/>
  <c r="O119" i="14"/>
  <c r="O87" i="14"/>
  <c r="O62" i="14"/>
  <c r="O32" i="14"/>
  <c r="O800" i="14"/>
  <c r="O733" i="14"/>
  <c r="O661" i="14"/>
  <c r="O578" i="14"/>
  <c r="O524" i="14"/>
  <c r="O466" i="14"/>
  <c r="O409" i="14"/>
  <c r="O367" i="14"/>
  <c r="O315" i="14"/>
  <c r="O258" i="14"/>
  <c r="O218" i="14"/>
  <c r="O184" i="14"/>
  <c r="O136" i="14"/>
  <c r="O100" i="14"/>
  <c r="O66" i="14"/>
  <c r="O18" i="14"/>
  <c r="O827" i="14"/>
  <c r="O744" i="14"/>
  <c r="O680" i="14"/>
  <c r="O605" i="14"/>
  <c r="O535" i="14"/>
  <c r="O480" i="14"/>
  <c r="O428" i="14"/>
  <c r="O371" i="14"/>
  <c r="O327" i="14"/>
  <c r="O277" i="14"/>
  <c r="O224" i="14"/>
  <c r="O188" i="14"/>
  <c r="O152" i="14"/>
  <c r="O105" i="14"/>
  <c r="O70" i="14"/>
  <c r="O33" i="14"/>
  <c r="O816" i="14"/>
  <c r="O734" i="14"/>
  <c r="O662" i="14"/>
  <c r="O596" i="14"/>
  <c r="O530" i="14"/>
  <c r="O467" i="14"/>
  <c r="O421" i="14"/>
  <c r="O368" i="14"/>
  <c r="O316" i="14"/>
  <c r="O271" i="14"/>
  <c r="O219" i="14"/>
  <c r="O186" i="14"/>
  <c r="O141" i="14"/>
  <c r="O102" i="14"/>
  <c r="O67" i="14"/>
  <c r="O30" i="14"/>
  <c r="O736" i="14"/>
  <c r="O632" i="14"/>
  <c r="O559" i="14"/>
  <c r="O468" i="14"/>
  <c r="O402" i="14"/>
  <c r="O334" i="14"/>
  <c r="O272" i="14"/>
  <c r="O208" i="14"/>
  <c r="O157" i="14"/>
  <c r="O104" i="14"/>
  <c r="O48" i="14"/>
  <c r="O817" i="14"/>
  <c r="O713" i="14"/>
  <c r="O623" i="14"/>
  <c r="O531" i="14"/>
  <c r="O447" i="14"/>
  <c r="O388" i="14"/>
  <c r="O319" i="14"/>
  <c r="O252" i="14"/>
  <c r="O191" i="14"/>
  <c r="O148" i="14"/>
  <c r="O88" i="14"/>
  <c r="O38" i="14"/>
  <c r="O777" i="14"/>
  <c r="O683" i="14"/>
  <c r="O576" i="14"/>
  <c r="O505" i="14"/>
  <c r="O432" i="14"/>
  <c r="O356" i="14"/>
  <c r="O292" i="14"/>
  <c r="O237" i="14"/>
  <c r="O174" i="14"/>
  <c r="O123" i="14"/>
  <c r="O72" i="14"/>
  <c r="O16" i="14"/>
  <c r="O771" i="14"/>
  <c r="O681" i="14"/>
  <c r="O575" i="14"/>
  <c r="O504" i="14"/>
  <c r="O429" i="14"/>
  <c r="O355" i="14"/>
  <c r="O291" i="14"/>
  <c r="O235" i="14"/>
  <c r="O172" i="14"/>
  <c r="O122" i="14"/>
  <c r="O71" i="14"/>
  <c r="O15" i="14"/>
  <c r="O793" i="14"/>
  <c r="O656" i="14"/>
  <c r="O517" i="14"/>
  <c r="O406" i="14"/>
  <c r="O309" i="14"/>
  <c r="O217" i="14"/>
  <c r="O134" i="14"/>
  <c r="O56" i="14"/>
  <c r="O792" i="14"/>
  <c r="O709" i="14"/>
  <c r="O560" i="14"/>
  <c r="O441" i="14"/>
  <c r="O346" i="14"/>
  <c r="O242" i="14"/>
  <c r="O158" i="14"/>
  <c r="O85" i="14"/>
  <c r="O4" i="14"/>
  <c r="O830" i="14"/>
  <c r="O692" i="14"/>
  <c r="O550" i="14"/>
  <c r="O440" i="14"/>
  <c r="O331" i="14"/>
  <c r="O241" i="14"/>
  <c r="O156" i="14"/>
  <c r="O81" i="14"/>
  <c r="O828" i="14"/>
  <c r="O665" i="14"/>
  <c r="O549" i="14"/>
  <c r="O423" i="14"/>
  <c r="O330" i="14"/>
  <c r="O223" i="14"/>
  <c r="O153" i="14"/>
  <c r="O68" i="14"/>
  <c r="O770" i="14"/>
  <c r="O574" i="14"/>
  <c r="O393" i="14"/>
  <c r="O253" i="14"/>
  <c r="O120" i="14"/>
  <c r="O14" i="14"/>
  <c r="O763" i="14"/>
  <c r="O561" i="14"/>
  <c r="O385" i="14"/>
  <c r="O243" i="14"/>
  <c r="O118" i="14"/>
  <c r="O13" i="14"/>
  <c r="O710" i="14"/>
  <c r="O482" i="14"/>
  <c r="O347" i="14"/>
  <c r="O190" i="14"/>
  <c r="O86" i="14"/>
  <c r="O610" i="14"/>
  <c r="O445" i="14"/>
  <c r="O279" i="14"/>
  <c r="O166" i="14"/>
  <c r="O36" i="14"/>
  <c r="O608" i="14"/>
  <c r="O403" i="14"/>
  <c r="O278" i="14"/>
  <c r="O133" i="14"/>
  <c r="O34" i="14"/>
  <c r="O787" i="14"/>
  <c r="O597" i="14"/>
  <c r="O394" i="14"/>
  <c r="O255" i="14"/>
  <c r="O132" i="14"/>
  <c r="O31" i="14"/>
  <c r="O511" i="14"/>
  <c r="O210" i="14"/>
  <c r="O509" i="14"/>
  <c r="O204" i="14"/>
  <c r="O489" i="14"/>
  <c r="O203" i="14"/>
  <c r="O460" i="14"/>
  <c r="O167" i="14"/>
  <c r="O715" i="14"/>
  <c r="O354" i="14"/>
  <c r="O98" i="14"/>
  <c r="O648" i="14"/>
  <c r="O308" i="14"/>
  <c r="O54" i="14"/>
  <c r="O628" i="14"/>
  <c r="O295" i="14"/>
  <c r="O47" i="14"/>
  <c r="O627" i="14"/>
  <c r="O290" i="14"/>
  <c r="O46" i="14"/>
  <c r="O189" i="14"/>
  <c r="O187" i="14"/>
  <c r="O481" i="14"/>
  <c r="O463" i="14"/>
  <c r="O384" i="14"/>
  <c r="O369" i="14"/>
  <c r="O117" i="14"/>
  <c r="O761" i="14"/>
  <c r="O718" i="14"/>
  <c r="O99" i="14"/>
  <c r="F4" i="14" l="1" a="1"/>
  <c r="L4" i="14" a="1"/>
  <c r="J4" i="14" a="1"/>
  <c r="H4" i="14" a="1"/>
  <c r="N4" i="14" a="1"/>
  <c r="N834" i="14" l="1"/>
  <c r="N822" i="14"/>
  <c r="N810" i="14"/>
  <c r="N798" i="14"/>
  <c r="N786" i="14"/>
  <c r="N774" i="14"/>
  <c r="N762" i="14"/>
  <c r="N750" i="14"/>
  <c r="N738" i="14"/>
  <c r="N726" i="14"/>
  <c r="N714" i="14"/>
  <c r="N702" i="14"/>
  <c r="N690" i="14"/>
  <c r="N678" i="14"/>
  <c r="N666" i="14"/>
  <c r="N654" i="14"/>
  <c r="N642" i="14"/>
  <c r="N630" i="14"/>
  <c r="N618" i="14"/>
  <c r="N606" i="14"/>
  <c r="N594" i="14"/>
  <c r="N582" i="14"/>
  <c r="N570" i="14"/>
  <c r="N558" i="14"/>
  <c r="N546" i="14"/>
  <c r="N534" i="14"/>
  <c r="N522" i="14"/>
  <c r="N510" i="14"/>
  <c r="N498" i="14"/>
  <c r="N486" i="14"/>
  <c r="N474" i="14"/>
  <c r="N462" i="14"/>
  <c r="N450" i="14"/>
  <c r="N438" i="14"/>
  <c r="N426" i="14"/>
  <c r="N414" i="14"/>
  <c r="N402" i="14"/>
  <c r="N390" i="14"/>
  <c r="N378" i="14"/>
  <c r="N366" i="14"/>
  <c r="N354" i="14"/>
  <c r="N342" i="14"/>
  <c r="N330" i="14"/>
  <c r="N318" i="14"/>
  <c r="N306" i="14"/>
  <c r="N294" i="14"/>
  <c r="N282" i="14"/>
  <c r="N270" i="14"/>
  <c r="N258" i="14"/>
  <c r="N246" i="14"/>
  <c r="N234" i="14"/>
  <c r="N222" i="14"/>
  <c r="N210" i="14"/>
  <c r="N198" i="14"/>
  <c r="N186" i="14"/>
  <c r="N839" i="14"/>
  <c r="N826" i="14"/>
  <c r="N813" i="14"/>
  <c r="N800" i="14"/>
  <c r="N787" i="14"/>
  <c r="N773" i="14"/>
  <c r="N760" i="14"/>
  <c r="N747" i="14"/>
  <c r="N734" i="14"/>
  <c r="N721" i="14"/>
  <c r="N708" i="14"/>
  <c r="N695" i="14"/>
  <c r="N682" i="14"/>
  <c r="N669" i="14"/>
  <c r="N656" i="14"/>
  <c r="N643" i="14"/>
  <c r="N629" i="14"/>
  <c r="N616" i="14"/>
  <c r="N603" i="14"/>
  <c r="N590" i="14"/>
  <c r="N577" i="14"/>
  <c r="N564" i="14"/>
  <c r="N551" i="14"/>
  <c r="N538" i="14"/>
  <c r="N525" i="14"/>
  <c r="N512" i="14"/>
  <c r="N499" i="14"/>
  <c r="N485" i="14"/>
  <c r="N472" i="14"/>
  <c r="N459" i="14"/>
  <c r="N446" i="14"/>
  <c r="N433" i="14"/>
  <c r="N420" i="14"/>
  <c r="N407" i="14"/>
  <c r="N394" i="14"/>
  <c r="N381" i="14"/>
  <c r="N368" i="14"/>
  <c r="N355" i="14"/>
  <c r="N341" i="14"/>
  <c r="N328" i="14"/>
  <c r="N315" i="14"/>
  <c r="N302" i="14"/>
  <c r="N289" i="14"/>
  <c r="N276" i="14"/>
  <c r="N263" i="14"/>
  <c r="N250" i="14"/>
  <c r="N237" i="14"/>
  <c r="N224" i="14"/>
  <c r="N211" i="14"/>
  <c r="N197" i="14"/>
  <c r="N184" i="14"/>
  <c r="N172" i="14"/>
  <c r="N160" i="14"/>
  <c r="N148" i="14"/>
  <c r="N136" i="14"/>
  <c r="N124" i="14"/>
  <c r="N112" i="14"/>
  <c r="N100" i="14"/>
  <c r="N88" i="14"/>
  <c r="N76" i="14"/>
  <c r="N64" i="14"/>
  <c r="N52" i="14"/>
  <c r="N40" i="14"/>
  <c r="N28" i="14"/>
  <c r="N16" i="14"/>
  <c r="N838" i="14"/>
  <c r="N824" i="14"/>
  <c r="N833" i="14"/>
  <c r="N819" i="14"/>
  <c r="N830" i="14"/>
  <c r="N814" i="14"/>
  <c r="N799" i="14"/>
  <c r="N784" i="14"/>
  <c r="N770" i="14"/>
  <c r="N756" i="14"/>
  <c r="N742" i="14"/>
  <c r="N728" i="14"/>
  <c r="N713" i="14"/>
  <c r="N699" i="14"/>
  <c r="N685" i="14"/>
  <c r="N671" i="14"/>
  <c r="N657" i="14"/>
  <c r="N641" i="14"/>
  <c r="N627" i="14"/>
  <c r="N613" i="14"/>
  <c r="N599" i="14"/>
  <c r="N585" i="14"/>
  <c r="N571" i="14"/>
  <c r="N556" i="14"/>
  <c r="N542" i="14"/>
  <c r="N528" i="14"/>
  <c r="N514" i="14"/>
  <c r="N500" i="14"/>
  <c r="N484" i="14"/>
  <c r="N470" i="14"/>
  <c r="N456" i="14"/>
  <c r="N442" i="14"/>
  <c r="N428" i="14"/>
  <c r="N413" i="14"/>
  <c r="N399" i="14"/>
  <c r="N385" i="14"/>
  <c r="N371" i="14"/>
  <c r="N357" i="14"/>
  <c r="N343" i="14"/>
  <c r="N327" i="14"/>
  <c r="N313" i="14"/>
  <c r="N299" i="14"/>
  <c r="N285" i="14"/>
  <c r="N271" i="14"/>
  <c r="N256" i="14"/>
  <c r="N242" i="14"/>
  <c r="N228" i="14"/>
  <c r="N214" i="14"/>
  <c r="N200" i="14"/>
  <c r="N185" i="14"/>
  <c r="N171" i="14"/>
  <c r="N158" i="14"/>
  <c r="N145" i="14"/>
  <c r="N132" i="14"/>
  <c r="N119" i="14"/>
  <c r="N106" i="14"/>
  <c r="N93" i="14"/>
  <c r="N80" i="14"/>
  <c r="N67" i="14"/>
  <c r="N54" i="14"/>
  <c r="N41" i="14"/>
  <c r="N27" i="14"/>
  <c r="N14" i="14"/>
  <c r="N835" i="14"/>
  <c r="N817" i="14"/>
  <c r="N803" i="14"/>
  <c r="N789" i="14"/>
  <c r="N775" i="14"/>
  <c r="N759" i="14"/>
  <c r="N745" i="14"/>
  <c r="N731" i="14"/>
  <c r="N717" i="14"/>
  <c r="N703" i="14"/>
  <c r="N688" i="14"/>
  <c r="N674" i="14"/>
  <c r="N660" i="14"/>
  <c r="N646" i="14"/>
  <c r="N632" i="14"/>
  <c r="N617" i="14"/>
  <c r="N602" i="14"/>
  <c r="N588" i="14"/>
  <c r="N574" i="14"/>
  <c r="N560" i="14"/>
  <c r="N545" i="14"/>
  <c r="N531" i="14"/>
  <c r="N517" i="14"/>
  <c r="N503" i="14"/>
  <c r="N489" i="14"/>
  <c r="N475" i="14"/>
  <c r="N460" i="14"/>
  <c r="N445" i="14"/>
  <c r="N431" i="14"/>
  <c r="N417" i="14"/>
  <c r="N403" i="14"/>
  <c r="N388" i="14"/>
  <c r="N374" i="14"/>
  <c r="N360" i="14"/>
  <c r="N346" i="14"/>
  <c r="N332" i="14"/>
  <c r="N317" i="14"/>
  <c r="N303" i="14"/>
  <c r="N288" i="14"/>
  <c r="N274" i="14"/>
  <c r="N260" i="14"/>
  <c r="N245" i="14"/>
  <c r="N231" i="14"/>
  <c r="N217" i="14"/>
  <c r="N203" i="14"/>
  <c r="N189" i="14"/>
  <c r="N175" i="14"/>
  <c r="N162" i="14"/>
  <c r="N149" i="14"/>
  <c r="N135" i="14"/>
  <c r="N122" i="14"/>
  <c r="N109" i="14"/>
  <c r="N96" i="14"/>
  <c r="N83" i="14"/>
  <c r="N70" i="14"/>
  <c r="N57" i="14"/>
  <c r="N44" i="14"/>
  <c r="N31" i="14"/>
  <c r="N18" i="14"/>
  <c r="N5" i="14"/>
  <c r="N832" i="14"/>
  <c r="N816" i="14"/>
  <c r="N802" i="14"/>
  <c r="N788" i="14"/>
  <c r="N772" i="14"/>
  <c r="N758" i="14"/>
  <c r="N744" i="14"/>
  <c r="N730" i="14"/>
  <c r="N716" i="14"/>
  <c r="N701" i="14"/>
  <c r="N687" i="14"/>
  <c r="N673" i="14"/>
  <c r="N831" i="14"/>
  <c r="N815" i="14"/>
  <c r="N801" i="14"/>
  <c r="N785" i="14"/>
  <c r="N771" i="14"/>
  <c r="N757" i="14"/>
  <c r="N743" i="14"/>
  <c r="N729" i="14"/>
  <c r="N715" i="14"/>
  <c r="N700" i="14"/>
  <c r="N686" i="14"/>
  <c r="N672" i="14"/>
  <c r="N658" i="14"/>
  <c r="N644" i="14"/>
  <c r="N628" i="14"/>
  <c r="N614" i="14"/>
  <c r="N600" i="14"/>
  <c r="N586" i="14"/>
  <c r="N572" i="14"/>
  <c r="N557" i="14"/>
  <c r="N543" i="14"/>
  <c r="N529" i="14"/>
  <c r="N515" i="14"/>
  <c r="N501" i="14"/>
  <c r="N487" i="14"/>
  <c r="N471" i="14"/>
  <c r="N457" i="14"/>
  <c r="N443" i="14"/>
  <c r="N429" i="14"/>
  <c r="N415" i="14"/>
  <c r="N400" i="14"/>
  <c r="N386" i="14"/>
  <c r="N372" i="14"/>
  <c r="N358" i="14"/>
  <c r="N344" i="14"/>
  <c r="N329" i="14"/>
  <c r="N314" i="14"/>
  <c r="N300" i="14"/>
  <c r="N286" i="14"/>
  <c r="N272" i="14"/>
  <c r="N257" i="14"/>
  <c r="N243" i="14"/>
  <c r="N229" i="14"/>
  <c r="N215" i="14"/>
  <c r="N201" i="14"/>
  <c r="N187" i="14"/>
  <c r="N173" i="14"/>
  <c r="N159" i="14"/>
  <c r="N146" i="14"/>
  <c r="N133" i="14"/>
  <c r="N120" i="14"/>
  <c r="N107" i="14"/>
  <c r="N94" i="14"/>
  <c r="N81" i="14"/>
  <c r="N68" i="14"/>
  <c r="N55" i="14"/>
  <c r="N42" i="14"/>
  <c r="N29" i="14"/>
  <c r="N15" i="14"/>
  <c r="N837" i="14"/>
  <c r="N809" i="14"/>
  <c r="N791" i="14"/>
  <c r="N767" i="14"/>
  <c r="N748" i="14"/>
  <c r="N724" i="14"/>
  <c r="N705" i="14"/>
  <c r="N681" i="14"/>
  <c r="N662" i="14"/>
  <c r="N640" i="14"/>
  <c r="N623" i="14"/>
  <c r="N605" i="14"/>
  <c r="N584" i="14"/>
  <c r="N566" i="14"/>
  <c r="N548" i="14"/>
  <c r="N527" i="14"/>
  <c r="N508" i="14"/>
  <c r="N491" i="14"/>
  <c r="N469" i="14"/>
  <c r="N452" i="14"/>
  <c r="N434" i="14"/>
  <c r="N412" i="14"/>
  <c r="N395" i="14"/>
  <c r="N376" i="14"/>
  <c r="N356" i="14"/>
  <c r="N337" i="14"/>
  <c r="N320" i="14"/>
  <c r="N298" i="14"/>
  <c r="N280" i="14"/>
  <c r="N262" i="14"/>
  <c r="N241" i="14"/>
  <c r="N223" i="14"/>
  <c r="N205" i="14"/>
  <c r="N183" i="14"/>
  <c r="N167" i="14"/>
  <c r="N151" i="14"/>
  <c r="N131" i="14"/>
  <c r="N115" i="14"/>
  <c r="N98" i="14"/>
  <c r="N79" i="14"/>
  <c r="N62" i="14"/>
  <c r="N46" i="14"/>
  <c r="N26" i="14"/>
  <c r="N10" i="14"/>
  <c r="N836" i="14"/>
  <c r="N808" i="14"/>
  <c r="N790" i="14"/>
  <c r="N766" i="14"/>
  <c r="N746" i="14"/>
  <c r="N723" i="14"/>
  <c r="N704" i="14"/>
  <c r="N680" i="14"/>
  <c r="N661" i="14"/>
  <c r="N639" i="14"/>
  <c r="N622" i="14"/>
  <c r="N604" i="14"/>
  <c r="N583" i="14"/>
  <c r="N565" i="14"/>
  <c r="N547" i="14"/>
  <c r="N526" i="14"/>
  <c r="N507" i="14"/>
  <c r="N490" i="14"/>
  <c r="N468" i="14"/>
  <c r="N451" i="14"/>
  <c r="N432" i="14"/>
  <c r="N411" i="14"/>
  <c r="N393" i="14"/>
  <c r="N375" i="14"/>
  <c r="N353" i="14"/>
  <c r="N336" i="14"/>
  <c r="N319" i="14"/>
  <c r="N297" i="14"/>
  <c r="N279" i="14"/>
  <c r="N261" i="14"/>
  <c r="N240" i="14"/>
  <c r="N221" i="14"/>
  <c r="N204" i="14"/>
  <c r="N182" i="14"/>
  <c r="N166" i="14"/>
  <c r="N150" i="14"/>
  <c r="N130" i="14"/>
  <c r="N114" i="14"/>
  <c r="N97" i="14"/>
  <c r="N78" i="14"/>
  <c r="N61" i="14"/>
  <c r="N45" i="14"/>
  <c r="N25" i="14"/>
  <c r="N9" i="14"/>
  <c r="N842" i="14"/>
  <c r="N818" i="14"/>
  <c r="N794" i="14"/>
  <c r="N776" i="14"/>
  <c r="N752" i="14"/>
  <c r="N732" i="14"/>
  <c r="N709" i="14"/>
  <c r="N689" i="14"/>
  <c r="N665" i="14"/>
  <c r="N648" i="14"/>
  <c r="N626" i="14"/>
  <c r="N609" i="14"/>
  <c r="N591" i="14"/>
  <c r="N569" i="14"/>
  <c r="N552" i="14"/>
  <c r="N533" i="14"/>
  <c r="N513" i="14"/>
  <c r="N494" i="14"/>
  <c r="N477" i="14"/>
  <c r="N455" i="14"/>
  <c r="N437" i="14"/>
  <c r="N419" i="14"/>
  <c r="N398" i="14"/>
  <c r="N380" i="14"/>
  <c r="N362" i="14"/>
  <c r="N340" i="14"/>
  <c r="N323" i="14"/>
  <c r="N305" i="14"/>
  <c r="N284" i="14"/>
  <c r="N266" i="14"/>
  <c r="N248" i="14"/>
  <c r="N227" i="14"/>
  <c r="N208" i="14"/>
  <c r="N191" i="14"/>
  <c r="N170" i="14"/>
  <c r="N154" i="14"/>
  <c r="N138" i="14"/>
  <c r="N118" i="14"/>
  <c r="N102" i="14"/>
  <c r="N85" i="14"/>
  <c r="N66" i="14"/>
  <c r="N49" i="14"/>
  <c r="N33" i="14"/>
  <c r="N13" i="14"/>
  <c r="N825" i="14"/>
  <c r="N795" i="14"/>
  <c r="N765" i="14"/>
  <c r="N737" i="14"/>
  <c r="N710" i="14"/>
  <c r="N679" i="14"/>
  <c r="N652" i="14"/>
  <c r="N631" i="14"/>
  <c r="N601" i="14"/>
  <c r="N578" i="14"/>
  <c r="N553" i="14"/>
  <c r="N524" i="14"/>
  <c r="N502" i="14"/>
  <c r="N478" i="14"/>
  <c r="N449" i="14"/>
  <c r="N424" i="14"/>
  <c r="N401" i="14"/>
  <c r="N373" i="14"/>
  <c r="N349" i="14"/>
  <c r="N324" i="14"/>
  <c r="N296" i="14"/>
  <c r="N273" i="14"/>
  <c r="N249" i="14"/>
  <c r="N220" i="14"/>
  <c r="N195" i="14"/>
  <c r="N174" i="14"/>
  <c r="N147" i="14"/>
  <c r="N126" i="14"/>
  <c r="N103" i="14"/>
  <c r="N77" i="14"/>
  <c r="N56" i="14"/>
  <c r="N34" i="14"/>
  <c r="N8" i="14"/>
  <c r="N829" i="14"/>
  <c r="N804" i="14"/>
  <c r="N777" i="14"/>
  <c r="N741" i="14"/>
  <c r="N718" i="14"/>
  <c r="N691" i="14"/>
  <c r="N659" i="14"/>
  <c r="N635" i="14"/>
  <c r="N610" i="14"/>
  <c r="N581" i="14"/>
  <c r="N559" i="14"/>
  <c r="N535" i="14"/>
  <c r="N506" i="14"/>
  <c r="N481" i="14"/>
  <c r="N458" i="14"/>
  <c r="N430" i="14"/>
  <c r="N406" i="14"/>
  <c r="N382" i="14"/>
  <c r="N352" i="14"/>
  <c r="N331" i="14"/>
  <c r="N307" i="14"/>
  <c r="N278" i="14"/>
  <c r="N253" i="14"/>
  <c r="N230" i="14"/>
  <c r="N202" i="14"/>
  <c r="N178" i="14"/>
  <c r="N155" i="14"/>
  <c r="N129" i="14"/>
  <c r="N108" i="14"/>
  <c r="N86" i="14"/>
  <c r="N60" i="14"/>
  <c r="N37" i="14"/>
  <c r="N17" i="14"/>
  <c r="N827" i="14"/>
  <c r="N796" i="14"/>
  <c r="N768" i="14"/>
  <c r="N739" i="14"/>
  <c r="N711" i="14"/>
  <c r="N683" i="14"/>
  <c r="N653" i="14"/>
  <c r="N633" i="14"/>
  <c r="N607" i="14"/>
  <c r="N579" i="14"/>
  <c r="N554" i="14"/>
  <c r="N530" i="14"/>
  <c r="N504" i="14"/>
  <c r="N479" i="14"/>
  <c r="N453" i="14"/>
  <c r="N425" i="14"/>
  <c r="N404" i="14"/>
  <c r="N377" i="14"/>
  <c r="N350" i="14"/>
  <c r="N325" i="14"/>
  <c r="N301" i="14"/>
  <c r="N275" i="14"/>
  <c r="N251" i="14"/>
  <c r="N225" i="14"/>
  <c r="N196" i="14"/>
  <c r="N176" i="14"/>
  <c r="N152" i="14"/>
  <c r="N127" i="14"/>
  <c r="N104" i="14"/>
  <c r="N82" i="14"/>
  <c r="N58" i="14"/>
  <c r="N35" i="14"/>
  <c r="N11" i="14"/>
  <c r="N843" i="14"/>
  <c r="N797" i="14"/>
  <c r="N761" i="14"/>
  <c r="N722" i="14"/>
  <c r="N684" i="14"/>
  <c r="N649" i="14"/>
  <c r="N615" i="14"/>
  <c r="N580" i="14"/>
  <c r="N828" i="14"/>
  <c r="N783" i="14"/>
  <c r="N753" i="14"/>
  <c r="N712" i="14"/>
  <c r="N675" i="14"/>
  <c r="N638" i="14"/>
  <c r="N608" i="14"/>
  <c r="N573" i="14"/>
  <c r="N539" i="14"/>
  <c r="N505" i="14"/>
  <c r="N467" i="14"/>
  <c r="N439" i="14"/>
  <c r="N405" i="14"/>
  <c r="N367" i="14"/>
  <c r="N335" i="14"/>
  <c r="N304" i="14"/>
  <c r="N267" i="14"/>
  <c r="N235" i="14"/>
  <c r="N199" i="14"/>
  <c r="N165" i="14"/>
  <c r="N139" i="14"/>
  <c r="N105" i="14"/>
  <c r="N73" i="14"/>
  <c r="N43" i="14"/>
  <c r="N12" i="14"/>
  <c r="N812" i="14"/>
  <c r="N779" i="14"/>
  <c r="N736" i="14"/>
  <c r="N697" i="14"/>
  <c r="N664" i="14"/>
  <c r="N625" i="14"/>
  <c r="N595" i="14"/>
  <c r="N562" i="14"/>
  <c r="N523" i="14"/>
  <c r="N493" i="14"/>
  <c r="N463" i="14"/>
  <c r="N423" i="14"/>
  <c r="N391" i="14"/>
  <c r="N361" i="14"/>
  <c r="N322" i="14"/>
  <c r="N291" i="14"/>
  <c r="N255" i="14"/>
  <c r="N219" i="14"/>
  <c r="N190" i="14"/>
  <c r="N157" i="14"/>
  <c r="N125" i="14"/>
  <c r="N92" i="14"/>
  <c r="N65" i="14"/>
  <c r="N32" i="14"/>
  <c r="N811" i="14"/>
  <c r="N778" i="14"/>
  <c r="N735" i="14"/>
  <c r="N696" i="14"/>
  <c r="N663" i="14"/>
  <c r="N624" i="14"/>
  <c r="N593" i="14"/>
  <c r="N561" i="14"/>
  <c r="N521" i="14"/>
  <c r="N492" i="14"/>
  <c r="N461" i="14"/>
  <c r="N422" i="14"/>
  <c r="N389" i="14"/>
  <c r="N359" i="14"/>
  <c r="N321" i="14"/>
  <c r="N290" i="14"/>
  <c r="N254" i="14"/>
  <c r="N218" i="14"/>
  <c r="N188" i="14"/>
  <c r="N156" i="14"/>
  <c r="N123" i="14"/>
  <c r="N91" i="14"/>
  <c r="N63" i="14"/>
  <c r="N30" i="14"/>
  <c r="N823" i="14"/>
  <c r="N764" i="14"/>
  <c r="N707" i="14"/>
  <c r="N651" i="14"/>
  <c r="N598" i="14"/>
  <c r="N550" i="14"/>
  <c r="N511" i="14"/>
  <c r="N465" i="14"/>
  <c r="N418" i="14"/>
  <c r="N370" i="14"/>
  <c r="N333" i="14"/>
  <c r="N283" i="14"/>
  <c r="N238" i="14"/>
  <c r="N193" i="14"/>
  <c r="N144" i="14"/>
  <c r="N111" i="14"/>
  <c r="N71" i="14"/>
  <c r="N23" i="14"/>
  <c r="N781" i="14"/>
  <c r="N725" i="14"/>
  <c r="N668" i="14"/>
  <c r="N619" i="14"/>
  <c r="N567" i="14"/>
  <c r="N519" i="14"/>
  <c r="N476" i="14"/>
  <c r="N435" i="14"/>
  <c r="N384" i="14"/>
  <c r="N339" i="14"/>
  <c r="N293" i="14"/>
  <c r="N247" i="14"/>
  <c r="N207" i="14"/>
  <c r="N163" i="14"/>
  <c r="N117" i="14"/>
  <c r="N75" i="14"/>
  <c r="N38" i="14"/>
  <c r="N841" i="14"/>
  <c r="N780" i="14"/>
  <c r="N720" i="14"/>
  <c r="N667" i="14"/>
  <c r="N612" i="14"/>
  <c r="N563" i="14"/>
  <c r="N518" i="14"/>
  <c r="N473" i="14"/>
  <c r="N427" i="14"/>
  <c r="N383" i="14"/>
  <c r="N338" i="14"/>
  <c r="N292" i="14"/>
  <c r="N244" i="14"/>
  <c r="N206" i="14"/>
  <c r="N161" i="14"/>
  <c r="N116" i="14"/>
  <c r="N74" i="14"/>
  <c r="N36" i="14"/>
  <c r="N840" i="14"/>
  <c r="N769" i="14"/>
  <c r="N719" i="14"/>
  <c r="N655" i="14"/>
  <c r="N611" i="14"/>
  <c r="N555" i="14"/>
  <c r="N516" i="14"/>
  <c r="N466" i="14"/>
  <c r="N421" i="14"/>
  <c r="N379" i="14"/>
  <c r="N334" i="14"/>
  <c r="N287" i="14"/>
  <c r="N239" i="14"/>
  <c r="N194" i="14"/>
  <c r="N153" i="14"/>
  <c r="N113" i="14"/>
  <c r="N72" i="14"/>
  <c r="N24" i="14"/>
  <c r="N754" i="14"/>
  <c r="N676" i="14"/>
  <c r="N592" i="14"/>
  <c r="N532" i="14"/>
  <c r="N448" i="14"/>
  <c r="N392" i="14"/>
  <c r="N312" i="14"/>
  <c r="N259" i="14"/>
  <c r="N180" i="14"/>
  <c r="N128" i="14"/>
  <c r="N53" i="14"/>
  <c r="N4" i="14"/>
  <c r="N751" i="14"/>
  <c r="N670" i="14"/>
  <c r="N589" i="14"/>
  <c r="N520" i="14"/>
  <c r="N447" i="14"/>
  <c r="N387" i="14"/>
  <c r="N311" i="14"/>
  <c r="N252" i="14"/>
  <c r="N179" i="14"/>
  <c r="N121" i="14"/>
  <c r="N51" i="14"/>
  <c r="N806" i="14"/>
  <c r="N727" i="14"/>
  <c r="N637" i="14"/>
  <c r="N568" i="14"/>
  <c r="N495" i="14"/>
  <c r="N436" i="14"/>
  <c r="N363" i="14"/>
  <c r="N295" i="14"/>
  <c r="N226" i="14"/>
  <c r="N164" i="14"/>
  <c r="N95" i="14"/>
  <c r="N39" i="14"/>
  <c r="N782" i="14"/>
  <c r="N693" i="14"/>
  <c r="N620" i="14"/>
  <c r="N540" i="14"/>
  <c r="N480" i="14"/>
  <c r="N408" i="14"/>
  <c r="N345" i="14"/>
  <c r="N268" i="14"/>
  <c r="N209" i="14"/>
  <c r="N140" i="14"/>
  <c r="N84" i="14"/>
  <c r="N19" i="14"/>
  <c r="N763" i="14"/>
  <c r="N692" i="14"/>
  <c r="N597" i="14"/>
  <c r="N537" i="14"/>
  <c r="N464" i="14"/>
  <c r="N397" i="14"/>
  <c r="N326" i="14"/>
  <c r="N265" i="14"/>
  <c r="N192" i="14"/>
  <c r="N137" i="14"/>
  <c r="N69" i="14"/>
  <c r="N7" i="14"/>
  <c r="N755" i="14"/>
  <c r="N677" i="14"/>
  <c r="N596" i="14"/>
  <c r="N536" i="14"/>
  <c r="N454" i="14"/>
  <c r="N396" i="14"/>
  <c r="N316" i="14"/>
  <c r="N264" i="14"/>
  <c r="N181" i="14"/>
  <c r="N134" i="14"/>
  <c r="N59" i="14"/>
  <c r="N6" i="14"/>
  <c r="N821" i="14"/>
  <c r="N650" i="14"/>
  <c r="N509" i="14"/>
  <c r="N369" i="14"/>
  <c r="N236" i="14"/>
  <c r="N110" i="14"/>
  <c r="N820" i="14"/>
  <c r="N647" i="14"/>
  <c r="N497" i="14"/>
  <c r="N365" i="14"/>
  <c r="N233" i="14"/>
  <c r="N101" i="14"/>
  <c r="N807" i="14"/>
  <c r="N645" i="14"/>
  <c r="N496" i="14"/>
  <c r="N364" i="14"/>
  <c r="N232" i="14"/>
  <c r="N99" i="14"/>
  <c r="N792" i="14"/>
  <c r="N621" i="14"/>
  <c r="N482" i="14"/>
  <c r="N347" i="14"/>
  <c r="N212" i="14"/>
  <c r="N87" i="14"/>
  <c r="N733" i="14"/>
  <c r="N575" i="14"/>
  <c r="N440" i="14"/>
  <c r="N308" i="14"/>
  <c r="N168" i="14"/>
  <c r="N47" i="14"/>
  <c r="N706" i="14"/>
  <c r="N549" i="14"/>
  <c r="N416" i="14"/>
  <c r="N281" i="14"/>
  <c r="N143" i="14"/>
  <c r="N22" i="14"/>
  <c r="N698" i="14"/>
  <c r="N544" i="14"/>
  <c r="N410" i="14"/>
  <c r="N277" i="14"/>
  <c r="N142" i="14"/>
  <c r="N21" i="14"/>
  <c r="N694" i="14"/>
  <c r="N541" i="14"/>
  <c r="N409" i="14"/>
  <c r="N269" i="14"/>
  <c r="N141" i="14"/>
  <c r="N20" i="14"/>
  <c r="N488" i="14"/>
  <c r="N90" i="14"/>
  <c r="N483" i="14"/>
  <c r="N89" i="14"/>
  <c r="N793" i="14"/>
  <c r="N348" i="14"/>
  <c r="N636" i="14"/>
  <c r="N216" i="14"/>
  <c r="N634" i="14"/>
  <c r="N213" i="14"/>
  <c r="N587" i="14"/>
  <c r="N177" i="14"/>
  <c r="N576" i="14"/>
  <c r="N169" i="14"/>
  <c r="N351" i="14"/>
  <c r="N310" i="14"/>
  <c r="N749" i="14"/>
  <c r="N740" i="14"/>
  <c r="N444" i="14"/>
  <c r="N441" i="14"/>
  <c r="N309" i="14"/>
  <c r="N48" i="14"/>
  <c r="N50" i="14"/>
  <c r="N805" i="14"/>
  <c r="H834" i="14"/>
  <c r="H822" i="14"/>
  <c r="H810" i="14"/>
  <c r="H798" i="14"/>
  <c r="H786" i="14"/>
  <c r="H774" i="14"/>
  <c r="H762" i="14"/>
  <c r="H750" i="14"/>
  <c r="H738" i="14"/>
  <c r="H726" i="14"/>
  <c r="H714" i="14"/>
  <c r="H702" i="14"/>
  <c r="H690" i="14"/>
  <c r="H678" i="14"/>
  <c r="H666" i="14"/>
  <c r="H654" i="14"/>
  <c r="H642" i="14"/>
  <c r="H630" i="14"/>
  <c r="H618" i="14"/>
  <c r="H606" i="14"/>
  <c r="H594" i="14"/>
  <c r="H582" i="14"/>
  <c r="H570" i="14"/>
  <c r="H558" i="14"/>
  <c r="H546" i="14"/>
  <c r="H534" i="14"/>
  <c r="H522" i="14"/>
  <c r="H510" i="14"/>
  <c r="H498" i="14"/>
  <c r="H486" i="14"/>
  <c r="H474" i="14"/>
  <c r="H462" i="14"/>
  <c r="H450" i="14"/>
  <c r="H438" i="14"/>
  <c r="H426" i="14"/>
  <c r="H414" i="14"/>
  <c r="H402" i="14"/>
  <c r="H390" i="14"/>
  <c r="H378" i="14"/>
  <c r="H366" i="14"/>
  <c r="H354" i="14"/>
  <c r="H342" i="14"/>
  <c r="H330" i="14"/>
  <c r="H318" i="14"/>
  <c r="H306" i="14"/>
  <c r="H294" i="14"/>
  <c r="H282" i="14"/>
  <c r="H270" i="14"/>
  <c r="H258" i="14"/>
  <c r="H246" i="14"/>
  <c r="H234" i="14"/>
  <c r="H222" i="14"/>
  <c r="H210" i="14"/>
  <c r="H198" i="14"/>
  <c r="H186" i="14"/>
  <c r="H174" i="14"/>
  <c r="H162" i="14"/>
  <c r="H842" i="14"/>
  <c r="H829" i="14"/>
  <c r="H816" i="14"/>
  <c r="H803" i="14"/>
  <c r="H790" i="14"/>
  <c r="H777" i="14"/>
  <c r="H764" i="14"/>
  <c r="H751" i="14"/>
  <c r="H737" i="14"/>
  <c r="H724" i="14"/>
  <c r="H711" i="14"/>
  <c r="H698" i="14"/>
  <c r="H685" i="14"/>
  <c r="H672" i="14"/>
  <c r="H659" i="14"/>
  <c r="H646" i="14"/>
  <c r="H633" i="14"/>
  <c r="H620" i="14"/>
  <c r="H607" i="14"/>
  <c r="H593" i="14"/>
  <c r="H580" i="14"/>
  <c r="H567" i="14"/>
  <c r="H554" i="14"/>
  <c r="H541" i="14"/>
  <c r="H528" i="14"/>
  <c r="H515" i="14"/>
  <c r="H502" i="14"/>
  <c r="H489" i="14"/>
  <c r="H476" i="14"/>
  <c r="H463" i="14"/>
  <c r="H449" i="14"/>
  <c r="H436" i="14"/>
  <c r="H423" i="14"/>
  <c r="H410" i="14"/>
  <c r="H397" i="14"/>
  <c r="H384" i="14"/>
  <c r="H371" i="14"/>
  <c r="H358" i="14"/>
  <c r="H345" i="14"/>
  <c r="H332" i="14"/>
  <c r="H319" i="14"/>
  <c r="H305" i="14"/>
  <c r="H292" i="14"/>
  <c r="H279" i="14"/>
  <c r="H266" i="14"/>
  <c r="H253" i="14"/>
  <c r="H240" i="14"/>
  <c r="H227" i="14"/>
  <c r="H214" i="14"/>
  <c r="H201" i="14"/>
  <c r="H188" i="14"/>
  <c r="H175" i="14"/>
  <c r="H161" i="14"/>
  <c r="H149" i="14"/>
  <c r="H137" i="14"/>
  <c r="H125" i="14"/>
  <c r="H113" i="14"/>
  <c r="H101" i="14"/>
  <c r="H89" i="14"/>
  <c r="H77" i="14"/>
  <c r="H65" i="14"/>
  <c r="H53" i="14"/>
  <c r="H41" i="14"/>
  <c r="H29" i="14"/>
  <c r="H17" i="14"/>
  <c r="H5" i="14"/>
  <c r="H841" i="14"/>
  <c r="H828" i="14"/>
  <c r="H815" i="14"/>
  <c r="H802" i="14"/>
  <c r="H789" i="14"/>
  <c r="H776" i="14"/>
  <c r="H837" i="14"/>
  <c r="H824" i="14"/>
  <c r="H811" i="14"/>
  <c r="H832" i="14"/>
  <c r="H819" i="14"/>
  <c r="H806" i="14"/>
  <c r="H793" i="14"/>
  <c r="H780" i="14"/>
  <c r="H767" i="14"/>
  <c r="H754" i="14"/>
  <c r="H741" i="14"/>
  <c r="H728" i="14"/>
  <c r="H715" i="14"/>
  <c r="H701" i="14"/>
  <c r="H688" i="14"/>
  <c r="H675" i="14"/>
  <c r="H662" i="14"/>
  <c r="H649" i="14"/>
  <c r="H636" i="14"/>
  <c r="H623" i="14"/>
  <c r="H610" i="14"/>
  <c r="H597" i="14"/>
  <c r="H584" i="14"/>
  <c r="H571" i="14"/>
  <c r="H557" i="14"/>
  <c r="H544" i="14"/>
  <c r="H531" i="14"/>
  <c r="H518" i="14"/>
  <c r="H505" i="14"/>
  <c r="H492" i="14"/>
  <c r="H479" i="14"/>
  <c r="H466" i="14"/>
  <c r="H453" i="14"/>
  <c r="H440" i="14"/>
  <c r="H427" i="14"/>
  <c r="H413" i="14"/>
  <c r="H400" i="14"/>
  <c r="H387" i="14"/>
  <c r="H374" i="14"/>
  <c r="H361" i="14"/>
  <c r="H348" i="14"/>
  <c r="H335" i="14"/>
  <c r="H322" i="14"/>
  <c r="H309" i="14"/>
  <c r="H296" i="14"/>
  <c r="H283" i="14"/>
  <c r="H269" i="14"/>
  <c r="H256" i="14"/>
  <c r="H243" i="14"/>
  <c r="H230" i="14"/>
  <c r="H217" i="14"/>
  <c r="H204" i="14"/>
  <c r="H191" i="14"/>
  <c r="H178" i="14"/>
  <c r="H165" i="14"/>
  <c r="H152" i="14"/>
  <c r="H140" i="14"/>
  <c r="H128" i="14"/>
  <c r="H116" i="14"/>
  <c r="H104" i="14"/>
  <c r="H92" i="14"/>
  <c r="H80" i="14"/>
  <c r="H68" i="14"/>
  <c r="H56" i="14"/>
  <c r="H44" i="14"/>
  <c r="H32" i="14"/>
  <c r="H20" i="14"/>
  <c r="H8" i="14"/>
  <c r="H843" i="14"/>
  <c r="H830" i="14"/>
  <c r="H817" i="14"/>
  <c r="H804" i="14"/>
  <c r="H791" i="14"/>
  <c r="H778" i="14"/>
  <c r="H765" i="14"/>
  <c r="H752" i="14"/>
  <c r="H739" i="14"/>
  <c r="H725" i="14"/>
  <c r="H712" i="14"/>
  <c r="H699" i="14"/>
  <c r="H686" i="14"/>
  <c r="H673" i="14"/>
  <c r="H660" i="14"/>
  <c r="H647" i="14"/>
  <c r="H634" i="14"/>
  <c r="H621" i="14"/>
  <c r="H608" i="14"/>
  <c r="H595" i="14"/>
  <c r="H581" i="14"/>
  <c r="H568" i="14"/>
  <c r="H555" i="14"/>
  <c r="H542" i="14"/>
  <c r="H529" i="14"/>
  <c r="H516" i="14"/>
  <c r="H503" i="14"/>
  <c r="H490" i="14"/>
  <c r="H477" i="14"/>
  <c r="H464" i="14"/>
  <c r="H451" i="14"/>
  <c r="H437" i="14"/>
  <c r="H424" i="14"/>
  <c r="H411" i="14"/>
  <c r="H398" i="14"/>
  <c r="H385" i="14"/>
  <c r="H372" i="14"/>
  <c r="H359" i="14"/>
  <c r="H346" i="14"/>
  <c r="H333" i="14"/>
  <c r="H320" i="14"/>
  <c r="H307" i="14"/>
  <c r="H293" i="14"/>
  <c r="H280" i="14"/>
  <c r="H267" i="14"/>
  <c r="H254" i="14"/>
  <c r="H241" i="14"/>
  <c r="H228" i="14"/>
  <c r="H215" i="14"/>
  <c r="H202" i="14"/>
  <c r="H189" i="14"/>
  <c r="H176" i="14"/>
  <c r="H163" i="14"/>
  <c r="H150" i="14"/>
  <c r="H138" i="14"/>
  <c r="H126" i="14"/>
  <c r="H114" i="14"/>
  <c r="H102" i="14"/>
  <c r="H90" i="14"/>
  <c r="H78" i="14"/>
  <c r="H66" i="14"/>
  <c r="H54" i="14"/>
  <c r="H42" i="14"/>
  <c r="H30" i="14"/>
  <c r="H18" i="14"/>
  <c r="H6" i="14"/>
  <c r="H836" i="14"/>
  <c r="H813" i="14"/>
  <c r="H794" i="14"/>
  <c r="H772" i="14"/>
  <c r="H756" i="14"/>
  <c r="H736" i="14"/>
  <c r="H720" i="14"/>
  <c r="H704" i="14"/>
  <c r="H684" i="14"/>
  <c r="H668" i="14"/>
  <c r="H651" i="14"/>
  <c r="H632" i="14"/>
  <c r="H615" i="14"/>
  <c r="H599" i="14"/>
  <c r="H579" i="14"/>
  <c r="H563" i="14"/>
  <c r="H547" i="14"/>
  <c r="H527" i="14"/>
  <c r="H511" i="14"/>
  <c r="H494" i="14"/>
  <c r="H475" i="14"/>
  <c r="H458" i="14"/>
  <c r="H442" i="14"/>
  <c r="H422" i="14"/>
  <c r="H406" i="14"/>
  <c r="H389" i="14"/>
  <c r="H370" i="14"/>
  <c r="H353" i="14"/>
  <c r="H337" i="14"/>
  <c r="H317" i="14"/>
  <c r="H301" i="14"/>
  <c r="H285" i="14"/>
  <c r="H265" i="14"/>
  <c r="H249" i="14"/>
  <c r="H232" i="14"/>
  <c r="H213" i="14"/>
  <c r="H196" i="14"/>
  <c r="H180" i="14"/>
  <c r="H160" i="14"/>
  <c r="H145" i="14"/>
  <c r="H130" i="14"/>
  <c r="H112" i="14"/>
  <c r="H97" i="14"/>
  <c r="H82" i="14"/>
  <c r="H64" i="14"/>
  <c r="H49" i="14"/>
  <c r="H34" i="14"/>
  <c r="H16" i="14"/>
  <c r="H835" i="14"/>
  <c r="H812" i="14"/>
  <c r="H792" i="14"/>
  <c r="H771" i="14"/>
  <c r="H755" i="14"/>
  <c r="H735" i="14"/>
  <c r="H719" i="14"/>
  <c r="H703" i="14"/>
  <c r="H683" i="14"/>
  <c r="H667" i="14"/>
  <c r="H650" i="14"/>
  <c r="H631" i="14"/>
  <c r="H614" i="14"/>
  <c r="H598" i="14"/>
  <c r="H578" i="14"/>
  <c r="H562" i="14"/>
  <c r="H545" i="14"/>
  <c r="H526" i="14"/>
  <c r="H509" i="14"/>
  <c r="H493" i="14"/>
  <c r="H473" i="14"/>
  <c r="H457" i="14"/>
  <c r="H441" i="14"/>
  <c r="H421" i="14"/>
  <c r="H405" i="14"/>
  <c r="H388" i="14"/>
  <c r="H369" i="14"/>
  <c r="H352" i="14"/>
  <c r="H336" i="14"/>
  <c r="H316" i="14"/>
  <c r="H300" i="14"/>
  <c r="H284" i="14"/>
  <c r="H264" i="14"/>
  <c r="H248" i="14"/>
  <c r="H231" i="14"/>
  <c r="H212" i="14"/>
  <c r="H195" i="14"/>
  <c r="H179" i="14"/>
  <c r="H159" i="14"/>
  <c r="H144" i="14"/>
  <c r="H129" i="14"/>
  <c r="H111" i="14"/>
  <c r="H96" i="14"/>
  <c r="H81" i="14"/>
  <c r="H63" i="14"/>
  <c r="H48" i="14"/>
  <c r="H33" i="14"/>
  <c r="H15" i="14"/>
  <c r="H840" i="14"/>
  <c r="H820" i="14"/>
  <c r="H797" i="14"/>
  <c r="H779" i="14"/>
  <c r="H759" i="14"/>
  <c r="H743" i="14"/>
  <c r="H723" i="14"/>
  <c r="H707" i="14"/>
  <c r="H691" i="14"/>
  <c r="H671" i="14"/>
  <c r="H655" i="14"/>
  <c r="H638" i="14"/>
  <c r="H619" i="14"/>
  <c r="H602" i="14"/>
  <c r="H586" i="14"/>
  <c r="H566" i="14"/>
  <c r="H550" i="14"/>
  <c r="H533" i="14"/>
  <c r="H514" i="14"/>
  <c r="H497" i="14"/>
  <c r="H481" i="14"/>
  <c r="H461" i="14"/>
  <c r="H445" i="14"/>
  <c r="H429" i="14"/>
  <c r="H409" i="14"/>
  <c r="H393" i="14"/>
  <c r="H376" i="14"/>
  <c r="H357" i="14"/>
  <c r="H340" i="14"/>
  <c r="H324" i="14"/>
  <c r="H304" i="14"/>
  <c r="H288" i="14"/>
  <c r="H272" i="14"/>
  <c r="H252" i="14"/>
  <c r="H236" i="14"/>
  <c r="H219" i="14"/>
  <c r="H200" i="14"/>
  <c r="H183" i="14"/>
  <c r="H167" i="14"/>
  <c r="H148" i="14"/>
  <c r="H133" i="14"/>
  <c r="H118" i="14"/>
  <c r="H100" i="14"/>
  <c r="H85" i="14"/>
  <c r="H70" i="14"/>
  <c r="H52" i="14"/>
  <c r="H37" i="14"/>
  <c r="H22" i="14"/>
  <c r="H839" i="14"/>
  <c r="H818" i="14"/>
  <c r="H796" i="14"/>
  <c r="H775" i="14"/>
  <c r="H758" i="14"/>
  <c r="H742" i="14"/>
  <c r="H722" i="14"/>
  <c r="H706" i="14"/>
  <c r="H689" i="14"/>
  <c r="H670" i="14"/>
  <c r="H653" i="14"/>
  <c r="H637" i="14"/>
  <c r="H617" i="14"/>
  <c r="H601" i="14"/>
  <c r="H585" i="14"/>
  <c r="H565" i="14"/>
  <c r="H549" i="14"/>
  <c r="H532" i="14"/>
  <c r="H513" i="14"/>
  <c r="H496" i="14"/>
  <c r="H480" i="14"/>
  <c r="H460" i="14"/>
  <c r="H444" i="14"/>
  <c r="H428" i="14"/>
  <c r="H408" i="14"/>
  <c r="H392" i="14"/>
  <c r="H375" i="14"/>
  <c r="H356" i="14"/>
  <c r="H339" i="14"/>
  <c r="H323" i="14"/>
  <c r="H303" i="14"/>
  <c r="H287" i="14"/>
  <c r="H271" i="14"/>
  <c r="H251" i="14"/>
  <c r="H235" i="14"/>
  <c r="H218" i="14"/>
  <c r="H199" i="14"/>
  <c r="H182" i="14"/>
  <c r="H166" i="14"/>
  <c r="H147" i="14"/>
  <c r="H132" i="14"/>
  <c r="H117" i="14"/>
  <c r="H99" i="14"/>
  <c r="H84" i="14"/>
  <c r="H69" i="14"/>
  <c r="H51" i="14"/>
  <c r="H36" i="14"/>
  <c r="H21" i="14"/>
  <c r="H4" i="14"/>
  <c r="H831" i="14"/>
  <c r="H800" i="14"/>
  <c r="H769" i="14"/>
  <c r="H745" i="14"/>
  <c r="H717" i="14"/>
  <c r="H693" i="14"/>
  <c r="H664" i="14"/>
  <c r="H640" i="14"/>
  <c r="H612" i="14"/>
  <c r="H588" i="14"/>
  <c r="H560" i="14"/>
  <c r="H536" i="14"/>
  <c r="H507" i="14"/>
  <c r="H483" i="14"/>
  <c r="H455" i="14"/>
  <c r="H431" i="14"/>
  <c r="H403" i="14"/>
  <c r="H379" i="14"/>
  <c r="H350" i="14"/>
  <c r="H326" i="14"/>
  <c r="H298" i="14"/>
  <c r="H274" i="14"/>
  <c r="H245" i="14"/>
  <c r="H221" i="14"/>
  <c r="H193" i="14"/>
  <c r="H169" i="14"/>
  <c r="H142" i="14"/>
  <c r="H120" i="14"/>
  <c r="H94" i="14"/>
  <c r="H72" i="14"/>
  <c r="H46" i="14"/>
  <c r="H24" i="14"/>
  <c r="H827" i="14"/>
  <c r="H799" i="14"/>
  <c r="H768" i="14"/>
  <c r="H744" i="14"/>
  <c r="H716" i="14"/>
  <c r="H692" i="14"/>
  <c r="H663" i="14"/>
  <c r="H639" i="14"/>
  <c r="H611" i="14"/>
  <c r="H587" i="14"/>
  <c r="H559" i="14"/>
  <c r="H535" i="14"/>
  <c r="H506" i="14"/>
  <c r="H482" i="14"/>
  <c r="H454" i="14"/>
  <c r="H430" i="14"/>
  <c r="H401" i="14"/>
  <c r="H377" i="14"/>
  <c r="H349" i="14"/>
  <c r="H325" i="14"/>
  <c r="H297" i="14"/>
  <c r="H273" i="14"/>
  <c r="H244" i="14"/>
  <c r="H220" i="14"/>
  <c r="H192" i="14"/>
  <c r="H168" i="14"/>
  <c r="H141" i="14"/>
  <c r="H119" i="14"/>
  <c r="H93" i="14"/>
  <c r="H71" i="14"/>
  <c r="H45" i="14"/>
  <c r="H23" i="14"/>
  <c r="H821" i="14"/>
  <c r="H785" i="14"/>
  <c r="H760" i="14"/>
  <c r="H732" i="14"/>
  <c r="H708" i="14"/>
  <c r="H680" i="14"/>
  <c r="H656" i="14"/>
  <c r="H627" i="14"/>
  <c r="H603" i="14"/>
  <c r="H575" i="14"/>
  <c r="H551" i="14"/>
  <c r="H523" i="14"/>
  <c r="H499" i="14"/>
  <c r="H470" i="14"/>
  <c r="H446" i="14"/>
  <c r="H418" i="14"/>
  <c r="H394" i="14"/>
  <c r="H365" i="14"/>
  <c r="H341" i="14"/>
  <c r="H313" i="14"/>
  <c r="H289" i="14"/>
  <c r="H261" i="14"/>
  <c r="H237" i="14"/>
  <c r="H208" i="14"/>
  <c r="H184" i="14"/>
  <c r="H156" i="14"/>
  <c r="H134" i="14"/>
  <c r="H108" i="14"/>
  <c r="H86" i="14"/>
  <c r="H60" i="14"/>
  <c r="H38" i="14"/>
  <c r="H12" i="14"/>
  <c r="H808" i="14"/>
  <c r="H782" i="14"/>
  <c r="H749" i="14"/>
  <c r="H729" i="14"/>
  <c r="H697" i="14"/>
  <c r="H676" i="14"/>
  <c r="H645" i="14"/>
  <c r="H624" i="14"/>
  <c r="H592" i="14"/>
  <c r="H572" i="14"/>
  <c r="H540" i="14"/>
  <c r="H519" i="14"/>
  <c r="H488" i="14"/>
  <c r="H467" i="14"/>
  <c r="H435" i="14"/>
  <c r="H415" i="14"/>
  <c r="H383" i="14"/>
  <c r="H362" i="14"/>
  <c r="H331" i="14"/>
  <c r="H310" i="14"/>
  <c r="H278" i="14"/>
  <c r="H257" i="14"/>
  <c r="H226" i="14"/>
  <c r="H205" i="14"/>
  <c r="H173" i="14"/>
  <c r="H153" i="14"/>
  <c r="H124" i="14"/>
  <c r="H105" i="14"/>
  <c r="H76" i="14"/>
  <c r="H57" i="14"/>
  <c r="H28" i="14"/>
  <c r="H9" i="14"/>
  <c r="H807" i="14"/>
  <c r="H781" i="14"/>
  <c r="H748" i="14"/>
  <c r="H727" i="14"/>
  <c r="H696" i="14"/>
  <c r="H674" i="14"/>
  <c r="H644" i="14"/>
  <c r="H622" i="14"/>
  <c r="H591" i="14"/>
  <c r="H569" i="14"/>
  <c r="H539" i="14"/>
  <c r="H517" i="14"/>
  <c r="H487" i="14"/>
  <c r="H465" i="14"/>
  <c r="H434" i="14"/>
  <c r="H412" i="14"/>
  <c r="H382" i="14"/>
  <c r="H360" i="14"/>
  <c r="H329" i="14"/>
  <c r="H308" i="14"/>
  <c r="H277" i="14"/>
  <c r="H255" i="14"/>
  <c r="H225" i="14"/>
  <c r="H203" i="14"/>
  <c r="H172" i="14"/>
  <c r="H151" i="14"/>
  <c r="H123" i="14"/>
  <c r="H103" i="14"/>
  <c r="H75" i="14"/>
  <c r="H55" i="14"/>
  <c r="H27" i="14"/>
  <c r="H7" i="14"/>
  <c r="H838" i="14"/>
  <c r="H805" i="14"/>
  <c r="H773" i="14"/>
  <c r="H747" i="14"/>
  <c r="H721" i="14"/>
  <c r="H695" i="14"/>
  <c r="H669" i="14"/>
  <c r="H643" i="14"/>
  <c r="H616" i="14"/>
  <c r="H590" i="14"/>
  <c r="H564" i="14"/>
  <c r="H538" i="14"/>
  <c r="H512" i="14"/>
  <c r="H485" i="14"/>
  <c r="H459" i="14"/>
  <c r="H433" i="14"/>
  <c r="H407" i="14"/>
  <c r="H381" i="14"/>
  <c r="H355" i="14"/>
  <c r="H328" i="14"/>
  <c r="H302" i="14"/>
  <c r="H276" i="14"/>
  <c r="H250" i="14"/>
  <c r="H224" i="14"/>
  <c r="H197" i="14"/>
  <c r="H171" i="14"/>
  <c r="H146" i="14"/>
  <c r="H122" i="14"/>
  <c r="H98" i="14"/>
  <c r="H74" i="14"/>
  <c r="H50" i="14"/>
  <c r="H26" i="14"/>
  <c r="H833" i="14"/>
  <c r="H801" i="14"/>
  <c r="H770" i="14"/>
  <c r="H746" i="14"/>
  <c r="H718" i="14"/>
  <c r="H694" i="14"/>
  <c r="H665" i="14"/>
  <c r="H641" i="14"/>
  <c r="H613" i="14"/>
  <c r="H589" i="14"/>
  <c r="H561" i="14"/>
  <c r="H537" i="14"/>
  <c r="H508" i="14"/>
  <c r="H484" i="14"/>
  <c r="H456" i="14"/>
  <c r="H432" i="14"/>
  <c r="H404" i="14"/>
  <c r="H380" i="14"/>
  <c r="H351" i="14"/>
  <c r="H327" i="14"/>
  <c r="H299" i="14"/>
  <c r="H275" i="14"/>
  <c r="H247" i="14"/>
  <c r="H223" i="14"/>
  <c r="H194" i="14"/>
  <c r="H170" i="14"/>
  <c r="H143" i="14"/>
  <c r="H121" i="14"/>
  <c r="H95" i="14"/>
  <c r="H73" i="14"/>
  <c r="H47" i="14"/>
  <c r="H25" i="14"/>
  <c r="H823" i="14"/>
  <c r="H753" i="14"/>
  <c r="H682" i="14"/>
  <c r="H626" i="14"/>
  <c r="H556" i="14"/>
  <c r="H500" i="14"/>
  <c r="H439" i="14"/>
  <c r="H368" i="14"/>
  <c r="H312" i="14"/>
  <c r="H242" i="14"/>
  <c r="H185" i="14"/>
  <c r="H809" i="14"/>
  <c r="H734" i="14"/>
  <c r="H679" i="14"/>
  <c r="H609" i="14"/>
  <c r="H552" i="14"/>
  <c r="H491" i="14"/>
  <c r="H420" i="14"/>
  <c r="H364" i="14"/>
  <c r="H295" i="14"/>
  <c r="H238" i="14"/>
  <c r="H177" i="14"/>
  <c r="H110" i="14"/>
  <c r="H59" i="14"/>
  <c r="H795" i="14"/>
  <c r="H733" i="14"/>
  <c r="H677" i="14"/>
  <c r="H605" i="14"/>
  <c r="H548" i="14"/>
  <c r="H478" i="14"/>
  <c r="H419" i="14"/>
  <c r="H363" i="14"/>
  <c r="H291" i="14"/>
  <c r="H233" i="14"/>
  <c r="H164" i="14"/>
  <c r="H109" i="14"/>
  <c r="H58" i="14"/>
  <c r="H788" i="14"/>
  <c r="H731" i="14"/>
  <c r="H661" i="14"/>
  <c r="H604" i="14"/>
  <c r="H543" i="14"/>
  <c r="H472" i="14"/>
  <c r="H417" i="14"/>
  <c r="H347" i="14"/>
  <c r="H290" i="14"/>
  <c r="H229" i="14"/>
  <c r="H158" i="14"/>
  <c r="H107" i="14"/>
  <c r="H43" i="14"/>
  <c r="H825" i="14"/>
  <c r="H710" i="14"/>
  <c r="H628" i="14"/>
  <c r="H524" i="14"/>
  <c r="H443" i="14"/>
  <c r="H338" i="14"/>
  <c r="H259" i="14"/>
  <c r="H154" i="14"/>
  <c r="H79" i="14"/>
  <c r="H10" i="14"/>
  <c r="H814" i="14"/>
  <c r="H709" i="14"/>
  <c r="H625" i="14"/>
  <c r="H521" i="14"/>
  <c r="H425" i="14"/>
  <c r="H334" i="14"/>
  <c r="H239" i="14"/>
  <c r="H139" i="14"/>
  <c r="H67" i="14"/>
  <c r="H787" i="14"/>
  <c r="H705" i="14"/>
  <c r="H600" i="14"/>
  <c r="H520" i="14"/>
  <c r="H416" i="14"/>
  <c r="H321" i="14"/>
  <c r="H216" i="14"/>
  <c r="H136" i="14"/>
  <c r="H62" i="14"/>
  <c r="H766" i="14"/>
  <c r="H681" i="14"/>
  <c r="H577" i="14"/>
  <c r="H495" i="14"/>
  <c r="H395" i="14"/>
  <c r="H311" i="14"/>
  <c r="H207" i="14"/>
  <c r="H127" i="14"/>
  <c r="H39" i="14"/>
  <c r="H761" i="14"/>
  <c r="H657" i="14"/>
  <c r="H574" i="14"/>
  <c r="H469" i="14"/>
  <c r="H386" i="14"/>
  <c r="H281" i="14"/>
  <c r="H190" i="14"/>
  <c r="H106" i="14"/>
  <c r="H31" i="14"/>
  <c r="H757" i="14"/>
  <c r="H652" i="14"/>
  <c r="H573" i="14"/>
  <c r="H468" i="14"/>
  <c r="H373" i="14"/>
  <c r="H268" i="14"/>
  <c r="H187" i="14"/>
  <c r="H91" i="14"/>
  <c r="H19" i="14"/>
  <c r="H740" i="14"/>
  <c r="H648" i="14"/>
  <c r="H553" i="14"/>
  <c r="H452" i="14"/>
  <c r="H367" i="14"/>
  <c r="H263" i="14"/>
  <c r="H181" i="14"/>
  <c r="H88" i="14"/>
  <c r="H14" i="14"/>
  <c r="H730" i="14"/>
  <c r="H635" i="14"/>
  <c r="H530" i="14"/>
  <c r="H448" i="14"/>
  <c r="H344" i="14"/>
  <c r="H262" i="14"/>
  <c r="H157" i="14"/>
  <c r="H87" i="14"/>
  <c r="H13" i="14"/>
  <c r="H826" i="14"/>
  <c r="H713" i="14"/>
  <c r="H629" i="14"/>
  <c r="H525" i="14"/>
  <c r="H447" i="14"/>
  <c r="H343" i="14"/>
  <c r="H260" i="14"/>
  <c r="H155" i="14"/>
  <c r="H83" i="14"/>
  <c r="H11" i="14"/>
  <c r="H700" i="14"/>
  <c r="H315" i="14"/>
  <c r="H687" i="14"/>
  <c r="H314" i="14"/>
  <c r="H658" i="14"/>
  <c r="H286" i="14"/>
  <c r="H596" i="14"/>
  <c r="H211" i="14"/>
  <c r="H583" i="14"/>
  <c r="H209" i="14"/>
  <c r="H576" i="14"/>
  <c r="H206" i="14"/>
  <c r="H501" i="14"/>
  <c r="H131" i="14"/>
  <c r="H471" i="14"/>
  <c r="H115" i="14"/>
  <c r="H784" i="14"/>
  <c r="H399" i="14"/>
  <c r="H61" i="14"/>
  <c r="H783" i="14"/>
  <c r="H396" i="14"/>
  <c r="H40" i="14"/>
  <c r="H763" i="14"/>
  <c r="H391" i="14"/>
  <c r="H35" i="14"/>
  <c r="H504" i="14"/>
  <c r="H135" i="14"/>
  <c r="J832" i="14"/>
  <c r="J820" i="14"/>
  <c r="J808" i="14"/>
  <c r="J796" i="14"/>
  <c r="J784" i="14"/>
  <c r="J772" i="14"/>
  <c r="J760" i="14"/>
  <c r="J748" i="14"/>
  <c r="J736" i="14"/>
  <c r="J724" i="14"/>
  <c r="J712" i="14"/>
  <c r="J700" i="14"/>
  <c r="J688" i="14"/>
  <c r="J676" i="14"/>
  <c r="J664" i="14"/>
  <c r="J652" i="14"/>
  <c r="J640" i="14"/>
  <c r="J628" i="14"/>
  <c r="J616" i="14"/>
  <c r="J604" i="14"/>
  <c r="J592" i="14"/>
  <c r="J580" i="14"/>
  <c r="J568" i="14"/>
  <c r="J556" i="14"/>
  <c r="J544" i="14"/>
  <c r="J532" i="14"/>
  <c r="J520" i="14"/>
  <c r="J508" i="14"/>
  <c r="J496" i="14"/>
  <c r="J484" i="14"/>
  <c r="J472" i="14"/>
  <c r="J460" i="14"/>
  <c r="J448" i="14"/>
  <c r="J436" i="14"/>
  <c r="J424" i="14"/>
  <c r="J412" i="14"/>
  <c r="J400" i="14"/>
  <c r="J388" i="14"/>
  <c r="J376" i="14"/>
  <c r="J364" i="14"/>
  <c r="J352" i="14"/>
  <c r="J340" i="14"/>
  <c r="J328" i="14"/>
  <c r="J316" i="14"/>
  <c r="J304" i="14"/>
  <c r="J292" i="14"/>
  <c r="J280" i="14"/>
  <c r="J268" i="14"/>
  <c r="J256" i="14"/>
  <c r="J244" i="14"/>
  <c r="J232" i="14"/>
  <c r="J220" i="14"/>
  <c r="J208" i="14"/>
  <c r="J196" i="14"/>
  <c r="J184" i="14"/>
  <c r="J172" i="14"/>
  <c r="J160" i="14"/>
  <c r="J148" i="14"/>
  <c r="J136" i="14"/>
  <c r="J124" i="14"/>
  <c r="J112" i="14"/>
  <c r="J100" i="14"/>
  <c r="J88" i="14"/>
  <c r="J76" i="14"/>
  <c r="J64" i="14"/>
  <c r="J52" i="14"/>
  <c r="J40" i="14"/>
  <c r="J28" i="14"/>
  <c r="J16" i="14"/>
  <c r="J840" i="14"/>
  <c r="J827" i="14"/>
  <c r="J814" i="14"/>
  <c r="J801" i="14"/>
  <c r="J788" i="14"/>
  <c r="J775" i="14"/>
  <c r="J762" i="14"/>
  <c r="J749" i="14"/>
  <c r="J735" i="14"/>
  <c r="J722" i="14"/>
  <c r="J709" i="14"/>
  <c r="J696" i="14"/>
  <c r="J683" i="14"/>
  <c r="J670" i="14"/>
  <c r="J657" i="14"/>
  <c r="J644" i="14"/>
  <c r="J631" i="14"/>
  <c r="J618" i="14"/>
  <c r="J605" i="14"/>
  <c r="J591" i="14"/>
  <c r="J578" i="14"/>
  <c r="J565" i="14"/>
  <c r="J552" i="14"/>
  <c r="J539" i="14"/>
  <c r="J526" i="14"/>
  <c r="J513" i="14"/>
  <c r="J500" i="14"/>
  <c r="J487" i="14"/>
  <c r="J474" i="14"/>
  <c r="J461" i="14"/>
  <c r="J447" i="14"/>
  <c r="J434" i="14"/>
  <c r="J421" i="14"/>
  <c r="J408" i="14"/>
  <c r="J395" i="14"/>
  <c r="J382" i="14"/>
  <c r="J369" i="14"/>
  <c r="J356" i="14"/>
  <c r="J343" i="14"/>
  <c r="J330" i="14"/>
  <c r="J317" i="14"/>
  <c r="J303" i="14"/>
  <c r="J290" i="14"/>
  <c r="J277" i="14"/>
  <c r="J264" i="14"/>
  <c r="J251" i="14"/>
  <c r="J238" i="14"/>
  <c r="J225" i="14"/>
  <c r="J212" i="14"/>
  <c r="J199" i="14"/>
  <c r="J186" i="14"/>
  <c r="J173" i="14"/>
  <c r="J159" i="14"/>
  <c r="J146" i="14"/>
  <c r="J133" i="14"/>
  <c r="J120" i="14"/>
  <c r="J107" i="14"/>
  <c r="J94" i="14"/>
  <c r="J81" i="14"/>
  <c r="J68" i="14"/>
  <c r="J55" i="14"/>
  <c r="J42" i="14"/>
  <c r="J29" i="14"/>
  <c r="J15" i="14"/>
  <c r="J843" i="14"/>
  <c r="J830" i="14"/>
  <c r="J817" i="14"/>
  <c r="J804" i="14"/>
  <c r="J791" i="14"/>
  <c r="J778" i="14"/>
  <c r="J765" i="14"/>
  <c r="J752" i="14"/>
  <c r="J739" i="14"/>
  <c r="J726" i="14"/>
  <c r="J713" i="14"/>
  <c r="J699" i="14"/>
  <c r="J686" i="14"/>
  <c r="J673" i="14"/>
  <c r="J660" i="14"/>
  <c r="J647" i="14"/>
  <c r="J634" i="14"/>
  <c r="J621" i="14"/>
  <c r="J608" i="14"/>
  <c r="J595" i="14"/>
  <c r="J582" i="14"/>
  <c r="J569" i="14"/>
  <c r="J841" i="14"/>
  <c r="J828" i="14"/>
  <c r="J815" i="14"/>
  <c r="J802" i="14"/>
  <c r="J789" i="14"/>
  <c r="J776" i="14"/>
  <c r="J763" i="14"/>
  <c r="J750" i="14"/>
  <c r="J737" i="14"/>
  <c r="J723" i="14"/>
  <c r="J710" i="14"/>
  <c r="J697" i="14"/>
  <c r="J684" i="14"/>
  <c r="J671" i="14"/>
  <c r="J658" i="14"/>
  <c r="J645" i="14"/>
  <c r="J632" i="14"/>
  <c r="J619" i="14"/>
  <c r="J606" i="14"/>
  <c r="J593" i="14"/>
  <c r="J836" i="14"/>
  <c r="J819" i="14"/>
  <c r="J800" i="14"/>
  <c r="J783" i="14"/>
  <c r="J767" i="14"/>
  <c r="J747" i="14"/>
  <c r="J731" i="14"/>
  <c r="J715" i="14"/>
  <c r="J695" i="14"/>
  <c r="J679" i="14"/>
  <c r="J662" i="14"/>
  <c r="J643" i="14"/>
  <c r="J626" i="14"/>
  <c r="J610" i="14"/>
  <c r="J590" i="14"/>
  <c r="J575" i="14"/>
  <c r="J560" i="14"/>
  <c r="J546" i="14"/>
  <c r="J531" i="14"/>
  <c r="J517" i="14"/>
  <c r="J503" i="14"/>
  <c r="J489" i="14"/>
  <c r="J475" i="14"/>
  <c r="J459" i="14"/>
  <c r="J445" i="14"/>
  <c r="J431" i="14"/>
  <c r="J417" i="14"/>
  <c r="J403" i="14"/>
  <c r="J389" i="14"/>
  <c r="J374" i="14"/>
  <c r="J360" i="14"/>
  <c r="J346" i="14"/>
  <c r="J332" i="14"/>
  <c r="J318" i="14"/>
  <c r="J302" i="14"/>
  <c r="J288" i="14"/>
  <c r="J274" i="14"/>
  <c r="J260" i="14"/>
  <c r="J246" i="14"/>
  <c r="J231" i="14"/>
  <c r="J217" i="14"/>
  <c r="J203" i="14"/>
  <c r="J189" i="14"/>
  <c r="J175" i="14"/>
  <c r="J161" i="14"/>
  <c r="J145" i="14"/>
  <c r="J131" i="14"/>
  <c r="J117" i="14"/>
  <c r="J103" i="14"/>
  <c r="J89" i="14"/>
  <c r="J74" i="14"/>
  <c r="J60" i="14"/>
  <c r="J46" i="14"/>
  <c r="J32" i="14"/>
  <c r="J18" i="14"/>
  <c r="J4" i="14"/>
  <c r="J825" i="14"/>
  <c r="J807" i="14"/>
  <c r="J787" i="14"/>
  <c r="J769" i="14"/>
  <c r="J751" i="14"/>
  <c r="J730" i="14"/>
  <c r="J711" i="14"/>
  <c r="J692" i="14"/>
  <c r="J674" i="14"/>
  <c r="J654" i="14"/>
  <c r="J636" i="14"/>
  <c r="J615" i="14"/>
  <c r="J598" i="14"/>
  <c r="J579" i="14"/>
  <c r="J562" i="14"/>
  <c r="J547" i="14"/>
  <c r="J530" i="14"/>
  <c r="J515" i="14"/>
  <c r="J499" i="14"/>
  <c r="J483" i="14"/>
  <c r="J468" i="14"/>
  <c r="J453" i="14"/>
  <c r="J438" i="14"/>
  <c r="J422" i="14"/>
  <c r="J406" i="14"/>
  <c r="J391" i="14"/>
  <c r="J375" i="14"/>
  <c r="J359" i="14"/>
  <c r="J344" i="14"/>
  <c r="J327" i="14"/>
  <c r="J312" i="14"/>
  <c r="J297" i="14"/>
  <c r="J282" i="14"/>
  <c r="J266" i="14"/>
  <c r="J250" i="14"/>
  <c r="J235" i="14"/>
  <c r="J219" i="14"/>
  <c r="J204" i="14"/>
  <c r="J188" i="14"/>
  <c r="J171" i="14"/>
  <c r="J156" i="14"/>
  <c r="J141" i="14"/>
  <c r="J126" i="14"/>
  <c r="J110" i="14"/>
  <c r="J95" i="14"/>
  <c r="J79" i="14"/>
  <c r="J63" i="14"/>
  <c r="J48" i="14"/>
  <c r="J33" i="14"/>
  <c r="J17" i="14"/>
  <c r="J823" i="14"/>
  <c r="J803" i="14"/>
  <c r="J781" i="14"/>
  <c r="J759" i="14"/>
  <c r="J741" i="14"/>
  <c r="J719" i="14"/>
  <c r="J701" i="14"/>
  <c r="J678" i="14"/>
  <c r="J656" i="14"/>
  <c r="J637" i="14"/>
  <c r="J614" i="14"/>
  <c r="J596" i="14"/>
  <c r="J574" i="14"/>
  <c r="J557" i="14"/>
  <c r="J540" i="14"/>
  <c r="J523" i="14"/>
  <c r="J506" i="14"/>
  <c r="J490" i="14"/>
  <c r="J471" i="14"/>
  <c r="J455" i="14"/>
  <c r="J439" i="14"/>
  <c r="J420" i="14"/>
  <c r="J404" i="14"/>
  <c r="J386" i="14"/>
  <c r="J370" i="14"/>
  <c r="J353" i="14"/>
  <c r="J336" i="14"/>
  <c r="J320" i="14"/>
  <c r="J301" i="14"/>
  <c r="J285" i="14"/>
  <c r="J269" i="14"/>
  <c r="J252" i="14"/>
  <c r="J234" i="14"/>
  <c r="J216" i="14"/>
  <c r="J200" i="14"/>
  <c r="J182" i="14"/>
  <c r="J166" i="14"/>
  <c r="J150" i="14"/>
  <c r="J132" i="14"/>
  <c r="J115" i="14"/>
  <c r="J98" i="14"/>
  <c r="J82" i="14"/>
  <c r="J65" i="14"/>
  <c r="J47" i="14"/>
  <c r="J30" i="14"/>
  <c r="J12" i="14"/>
  <c r="J826" i="14"/>
  <c r="J806" i="14"/>
  <c r="J785" i="14"/>
  <c r="J764" i="14"/>
  <c r="J743" i="14"/>
  <c r="J721" i="14"/>
  <c r="J703" i="14"/>
  <c r="J681" i="14"/>
  <c r="J661" i="14"/>
  <c r="J639" i="14"/>
  <c r="J620" i="14"/>
  <c r="J599" i="14"/>
  <c r="J577" i="14"/>
  <c r="J559" i="14"/>
  <c r="J542" i="14"/>
  <c r="J525" i="14"/>
  <c r="J509" i="14"/>
  <c r="J492" i="14"/>
  <c r="J476" i="14"/>
  <c r="J457" i="14"/>
  <c r="J441" i="14"/>
  <c r="J425" i="14"/>
  <c r="J407" i="14"/>
  <c r="J390" i="14"/>
  <c r="J372" i="14"/>
  <c r="J355" i="14"/>
  <c r="J338" i="14"/>
  <c r="J322" i="14"/>
  <c r="J306" i="14"/>
  <c r="J287" i="14"/>
  <c r="J271" i="14"/>
  <c r="J254" i="14"/>
  <c r="J237" i="14"/>
  <c r="J221" i="14"/>
  <c r="J202" i="14"/>
  <c r="J185" i="14"/>
  <c r="J168" i="14"/>
  <c r="J152" i="14"/>
  <c r="J135" i="14"/>
  <c r="J118" i="14"/>
  <c r="J101" i="14"/>
  <c r="J84" i="14"/>
  <c r="J67" i="14"/>
  <c r="J50" i="14"/>
  <c r="J34" i="14"/>
  <c r="J14" i="14"/>
  <c r="J831" i="14"/>
  <c r="J805" i="14"/>
  <c r="J779" i="14"/>
  <c r="J755" i="14"/>
  <c r="J729" i="14"/>
  <c r="J705" i="14"/>
  <c r="J680" i="14"/>
  <c r="J653" i="14"/>
  <c r="J629" i="14"/>
  <c r="J603" i="14"/>
  <c r="J583" i="14"/>
  <c r="J558" i="14"/>
  <c r="J537" i="14"/>
  <c r="J518" i="14"/>
  <c r="J497" i="14"/>
  <c r="J478" i="14"/>
  <c r="J456" i="14"/>
  <c r="J435" i="14"/>
  <c r="J415" i="14"/>
  <c r="J396" i="14"/>
  <c r="J377" i="14"/>
  <c r="J354" i="14"/>
  <c r="J334" i="14"/>
  <c r="J313" i="14"/>
  <c r="J294" i="14"/>
  <c r="J273" i="14"/>
  <c r="J253" i="14"/>
  <c r="J230" i="14"/>
  <c r="J211" i="14"/>
  <c r="J192" i="14"/>
  <c r="J170" i="14"/>
  <c r="J151" i="14"/>
  <c r="J129" i="14"/>
  <c r="J109" i="14"/>
  <c r="J90" i="14"/>
  <c r="J70" i="14"/>
  <c r="J49" i="14"/>
  <c r="J26" i="14"/>
  <c r="J8" i="14"/>
  <c r="J829" i="14"/>
  <c r="J799" i="14"/>
  <c r="J777" i="14"/>
  <c r="J754" i="14"/>
  <c r="J728" i="14"/>
  <c r="J704" i="14"/>
  <c r="J677" i="14"/>
  <c r="J651" i="14"/>
  <c r="J627" i="14"/>
  <c r="J602" i="14"/>
  <c r="J581" i="14"/>
  <c r="J555" i="14"/>
  <c r="J536" i="14"/>
  <c r="J516" i="14"/>
  <c r="J495" i="14"/>
  <c r="J477" i="14"/>
  <c r="J454" i="14"/>
  <c r="J433" i="14"/>
  <c r="J414" i="14"/>
  <c r="J394" i="14"/>
  <c r="J373" i="14"/>
  <c r="J351" i="14"/>
  <c r="J333" i="14"/>
  <c r="J311" i="14"/>
  <c r="J293" i="14"/>
  <c r="J272" i="14"/>
  <c r="J249" i="14"/>
  <c r="J229" i="14"/>
  <c r="J210" i="14"/>
  <c r="J191" i="14"/>
  <c r="J169" i="14"/>
  <c r="J149" i="14"/>
  <c r="J128" i="14"/>
  <c r="J108" i="14"/>
  <c r="J87" i="14"/>
  <c r="J69" i="14"/>
  <c r="J45" i="14"/>
  <c r="J25" i="14"/>
  <c r="J7" i="14"/>
  <c r="J842" i="14"/>
  <c r="J818" i="14"/>
  <c r="J794" i="14"/>
  <c r="J770" i="14"/>
  <c r="J744" i="14"/>
  <c r="J718" i="14"/>
  <c r="J693" i="14"/>
  <c r="J668" i="14"/>
  <c r="J646" i="14"/>
  <c r="J622" i="14"/>
  <c r="J594" i="14"/>
  <c r="J571" i="14"/>
  <c r="J550" i="14"/>
  <c r="J529" i="14"/>
  <c r="J510" i="14"/>
  <c r="J488" i="14"/>
  <c r="J467" i="14"/>
  <c r="J449" i="14"/>
  <c r="J428" i="14"/>
  <c r="J409" i="14"/>
  <c r="J385" i="14"/>
  <c r="J366" i="14"/>
  <c r="J347" i="14"/>
  <c r="J325" i="14"/>
  <c r="J307" i="14"/>
  <c r="J284" i="14"/>
  <c r="J263" i="14"/>
  <c r="J243" i="14"/>
  <c r="J224" i="14"/>
  <c r="J205" i="14"/>
  <c r="J181" i="14"/>
  <c r="J163" i="14"/>
  <c r="J142" i="14"/>
  <c r="J122" i="14"/>
  <c r="J102" i="14"/>
  <c r="J80" i="14"/>
  <c r="J59" i="14"/>
  <c r="J39" i="14"/>
  <c r="J21" i="14"/>
  <c r="J835" i="14"/>
  <c r="J811" i="14"/>
  <c r="J786" i="14"/>
  <c r="J758" i="14"/>
  <c r="J734" i="14"/>
  <c r="J708" i="14"/>
  <c r="J687" i="14"/>
  <c r="J663" i="14"/>
  <c r="J635" i="14"/>
  <c r="J611" i="14"/>
  <c r="J586" i="14"/>
  <c r="J564" i="14"/>
  <c r="J543" i="14"/>
  <c r="J522" i="14"/>
  <c r="J502" i="14"/>
  <c r="J481" i="14"/>
  <c r="J463" i="14"/>
  <c r="J442" i="14"/>
  <c r="J419" i="14"/>
  <c r="J399" i="14"/>
  <c r="J380" i="14"/>
  <c r="J361" i="14"/>
  <c r="J339" i="14"/>
  <c r="J319" i="14"/>
  <c r="J298" i="14"/>
  <c r="J278" i="14"/>
  <c r="J258" i="14"/>
  <c r="J239" i="14"/>
  <c r="J215" i="14"/>
  <c r="J195" i="14"/>
  <c r="J177" i="14"/>
  <c r="J155" i="14"/>
  <c r="J137" i="14"/>
  <c r="J114" i="14"/>
  <c r="J93" i="14"/>
  <c r="J73" i="14"/>
  <c r="J54" i="14"/>
  <c r="J35" i="14"/>
  <c r="J11" i="14"/>
  <c r="J834" i="14"/>
  <c r="J810" i="14"/>
  <c r="J782" i="14"/>
  <c r="J757" i="14"/>
  <c r="J733" i="14"/>
  <c r="J707" i="14"/>
  <c r="J685" i="14"/>
  <c r="J659" i="14"/>
  <c r="J633" i="14"/>
  <c r="J609" i="14"/>
  <c r="J585" i="14"/>
  <c r="J563" i="14"/>
  <c r="J541" i="14"/>
  <c r="J521" i="14"/>
  <c r="J501" i="14"/>
  <c r="J480" i="14"/>
  <c r="J462" i="14"/>
  <c r="J440" i="14"/>
  <c r="J418" i="14"/>
  <c r="J398" i="14"/>
  <c r="J379" i="14"/>
  <c r="J358" i="14"/>
  <c r="J337" i="14"/>
  <c r="J315" i="14"/>
  <c r="J296" i="14"/>
  <c r="J276" i="14"/>
  <c r="J257" i="14"/>
  <c r="J236" i="14"/>
  <c r="J214" i="14"/>
  <c r="J194" i="14"/>
  <c r="J176" i="14"/>
  <c r="J154" i="14"/>
  <c r="J134" i="14"/>
  <c r="J113" i="14"/>
  <c r="J92" i="14"/>
  <c r="J72" i="14"/>
  <c r="J53" i="14"/>
  <c r="J31" i="14"/>
  <c r="J10" i="14"/>
  <c r="J833" i="14"/>
  <c r="J809" i="14"/>
  <c r="J780" i="14"/>
  <c r="J756" i="14"/>
  <c r="J732" i="14"/>
  <c r="J706" i="14"/>
  <c r="J682" i="14"/>
  <c r="J655" i="14"/>
  <c r="J630" i="14"/>
  <c r="J607" i="14"/>
  <c r="J584" i="14"/>
  <c r="J561" i="14"/>
  <c r="J538" i="14"/>
  <c r="J519" i="14"/>
  <c r="J498" i="14"/>
  <c r="J479" i="14"/>
  <c r="J458" i="14"/>
  <c r="J437" i="14"/>
  <c r="J416" i="14"/>
  <c r="J397" i="14"/>
  <c r="J378" i="14"/>
  <c r="J357" i="14"/>
  <c r="J335" i="14"/>
  <c r="J314" i="14"/>
  <c r="J295" i="14"/>
  <c r="J275" i="14"/>
  <c r="J255" i="14"/>
  <c r="J233" i="14"/>
  <c r="J213" i="14"/>
  <c r="J193" i="14"/>
  <c r="J174" i="14"/>
  <c r="J153" i="14"/>
  <c r="J130" i="14"/>
  <c r="J111" i="14"/>
  <c r="J91" i="14"/>
  <c r="J71" i="14"/>
  <c r="J51" i="14"/>
  <c r="J27" i="14"/>
  <c r="J9" i="14"/>
  <c r="J795" i="14"/>
  <c r="J745" i="14"/>
  <c r="J694" i="14"/>
  <c r="J648" i="14"/>
  <c r="J597" i="14"/>
  <c r="J551" i="14"/>
  <c r="J511" i="14"/>
  <c r="J469" i="14"/>
  <c r="J429" i="14"/>
  <c r="J387" i="14"/>
  <c r="J348" i="14"/>
  <c r="J308" i="14"/>
  <c r="J265" i="14"/>
  <c r="J226" i="14"/>
  <c r="J183" i="14"/>
  <c r="J143" i="14"/>
  <c r="J104" i="14"/>
  <c r="J61" i="14"/>
  <c r="J22" i="14"/>
  <c r="J839" i="14"/>
  <c r="J793" i="14"/>
  <c r="J742" i="14"/>
  <c r="J691" i="14"/>
  <c r="J642" i="14"/>
  <c r="J589" i="14"/>
  <c r="J549" i="14"/>
  <c r="J507" i="14"/>
  <c r="J466" i="14"/>
  <c r="J427" i="14"/>
  <c r="J384" i="14"/>
  <c r="J345" i="14"/>
  <c r="J305" i="14"/>
  <c r="J262" i="14"/>
  <c r="J223" i="14"/>
  <c r="J180" i="14"/>
  <c r="J140" i="14"/>
  <c r="J99" i="14"/>
  <c r="J58" i="14"/>
  <c r="J20" i="14"/>
  <c r="J822" i="14"/>
  <c r="J773" i="14"/>
  <c r="J725" i="14"/>
  <c r="J672" i="14"/>
  <c r="J624" i="14"/>
  <c r="J573" i="14"/>
  <c r="J534" i="14"/>
  <c r="J493" i="14"/>
  <c r="J451" i="14"/>
  <c r="J411" i="14"/>
  <c r="J368" i="14"/>
  <c r="J329" i="14"/>
  <c r="J289" i="14"/>
  <c r="J247" i="14"/>
  <c r="J207" i="14"/>
  <c r="J165" i="14"/>
  <c r="J125" i="14"/>
  <c r="J85" i="14"/>
  <c r="J43" i="14"/>
  <c r="J5" i="14"/>
  <c r="J813" i="14"/>
  <c r="J766" i="14"/>
  <c r="J716" i="14"/>
  <c r="J666" i="14"/>
  <c r="J613" i="14"/>
  <c r="J567" i="14"/>
  <c r="J527" i="14"/>
  <c r="J485" i="14"/>
  <c r="J444" i="14"/>
  <c r="J402" i="14"/>
  <c r="J363" i="14"/>
  <c r="J323" i="14"/>
  <c r="J281" i="14"/>
  <c r="J241" i="14"/>
  <c r="J812" i="14"/>
  <c r="J761" i="14"/>
  <c r="J714" i="14"/>
  <c r="J665" i="14"/>
  <c r="J612" i="14"/>
  <c r="J566" i="14"/>
  <c r="J524" i="14"/>
  <c r="J482" i="14"/>
  <c r="J443" i="14"/>
  <c r="J401" i="14"/>
  <c r="J362" i="14"/>
  <c r="J321" i="14"/>
  <c r="J279" i="14"/>
  <c r="J240" i="14"/>
  <c r="J197" i="14"/>
  <c r="J157" i="14"/>
  <c r="J116" i="14"/>
  <c r="J75" i="14"/>
  <c r="J36" i="14"/>
  <c r="J798" i="14"/>
  <c r="J753" i="14"/>
  <c r="J702" i="14"/>
  <c r="J650" i="14"/>
  <c r="J601" i="14"/>
  <c r="J554" i="14"/>
  <c r="J514" i="14"/>
  <c r="J473" i="14"/>
  <c r="J432" i="14"/>
  <c r="J393" i="14"/>
  <c r="J350" i="14"/>
  <c r="J310" i="14"/>
  <c r="J270" i="14"/>
  <c r="J228" i="14"/>
  <c r="J190" i="14"/>
  <c r="J147" i="14"/>
  <c r="J106" i="14"/>
  <c r="J66" i="14"/>
  <c r="J24" i="14"/>
  <c r="J797" i="14"/>
  <c r="J746" i="14"/>
  <c r="J698" i="14"/>
  <c r="J649" i="14"/>
  <c r="J600" i="14"/>
  <c r="J553" i="14"/>
  <c r="J512" i="14"/>
  <c r="J470" i="14"/>
  <c r="J430" i="14"/>
  <c r="J392" i="14"/>
  <c r="J771" i="14"/>
  <c r="J641" i="14"/>
  <c r="J535" i="14"/>
  <c r="J446" i="14"/>
  <c r="J342" i="14"/>
  <c r="J261" i="14"/>
  <c r="J187" i="14"/>
  <c r="J121" i="14"/>
  <c r="J44" i="14"/>
  <c r="J768" i="14"/>
  <c r="J638" i="14"/>
  <c r="J533" i="14"/>
  <c r="J426" i="14"/>
  <c r="J341" i="14"/>
  <c r="J259" i="14"/>
  <c r="J179" i="14"/>
  <c r="J119" i="14"/>
  <c r="J41" i="14"/>
  <c r="J837" i="14"/>
  <c r="J720" i="14"/>
  <c r="J588" i="14"/>
  <c r="J494" i="14"/>
  <c r="J405" i="14"/>
  <c r="J309" i="14"/>
  <c r="J227" i="14"/>
  <c r="J162" i="14"/>
  <c r="J86" i="14"/>
  <c r="J19" i="14"/>
  <c r="J816" i="14"/>
  <c r="J689" i="14"/>
  <c r="J572" i="14"/>
  <c r="J465" i="14"/>
  <c r="J371" i="14"/>
  <c r="J291" i="14"/>
  <c r="J209" i="14"/>
  <c r="J139" i="14"/>
  <c r="J77" i="14"/>
  <c r="J792" i="14"/>
  <c r="J675" i="14"/>
  <c r="J570" i="14"/>
  <c r="J464" i="14"/>
  <c r="J367" i="14"/>
  <c r="J286" i="14"/>
  <c r="J206" i="14"/>
  <c r="J138" i="14"/>
  <c r="J62" i="14"/>
  <c r="J790" i="14"/>
  <c r="J669" i="14"/>
  <c r="J548" i="14"/>
  <c r="J452" i="14"/>
  <c r="J365" i="14"/>
  <c r="J283" i="14"/>
  <c r="J201" i="14"/>
  <c r="J127" i="14"/>
  <c r="J57" i="14"/>
  <c r="J774" i="14"/>
  <c r="J667" i="14"/>
  <c r="J545" i="14"/>
  <c r="J450" i="14"/>
  <c r="J349" i="14"/>
  <c r="J267" i="14"/>
  <c r="J198" i="14"/>
  <c r="J123" i="14"/>
  <c r="J56" i="14"/>
  <c r="J617" i="14"/>
  <c r="J381" i="14"/>
  <c r="J167" i="14"/>
  <c r="J13" i="14"/>
  <c r="J838" i="14"/>
  <c r="J576" i="14"/>
  <c r="J326" i="14"/>
  <c r="J158" i="14"/>
  <c r="J824" i="14"/>
  <c r="J528" i="14"/>
  <c r="J324" i="14"/>
  <c r="J144" i="14"/>
  <c r="J821" i="14"/>
  <c r="J505" i="14"/>
  <c r="J300" i="14"/>
  <c r="J105" i="14"/>
  <c r="J727" i="14"/>
  <c r="J383" i="14"/>
  <c r="J83" i="14"/>
  <c r="J717" i="14"/>
  <c r="J331" i="14"/>
  <c r="J78" i="14"/>
  <c r="J690" i="14"/>
  <c r="J299" i="14"/>
  <c r="J38" i="14"/>
  <c r="J587" i="14"/>
  <c r="J242" i="14"/>
  <c r="J6" i="14"/>
  <c r="J491" i="14"/>
  <c r="J218" i="14"/>
  <c r="J486" i="14"/>
  <c r="J178" i="14"/>
  <c r="J423" i="14"/>
  <c r="J164" i="14"/>
  <c r="J740" i="14"/>
  <c r="J413" i="14"/>
  <c r="J97" i="14"/>
  <c r="J738" i="14"/>
  <c r="J410" i="14"/>
  <c r="J96" i="14"/>
  <c r="J625" i="14"/>
  <c r="J623" i="14"/>
  <c r="J504" i="14"/>
  <c r="J248" i="14"/>
  <c r="J245" i="14"/>
  <c r="J222" i="14"/>
  <c r="J23" i="14"/>
  <c r="J37" i="14"/>
  <c r="L843" i="14"/>
  <c r="L831" i="14"/>
  <c r="L819" i="14"/>
  <c r="L807" i="14"/>
  <c r="L795" i="14"/>
  <c r="L783" i="14"/>
  <c r="L771" i="14"/>
  <c r="L759" i="14"/>
  <c r="L747" i="14"/>
  <c r="L735" i="14"/>
  <c r="L723" i="14"/>
  <c r="L711" i="14"/>
  <c r="L699" i="14"/>
  <c r="L687" i="14"/>
  <c r="L675" i="14"/>
  <c r="L663" i="14"/>
  <c r="L651" i="14"/>
  <c r="L639" i="14"/>
  <c r="L627" i="14"/>
  <c r="L615" i="14"/>
  <c r="L603" i="14"/>
  <c r="L591" i="14"/>
  <c r="L579" i="14"/>
  <c r="L567" i="14"/>
  <c r="L555" i="14"/>
  <c r="L543" i="14"/>
  <c r="L531" i="14"/>
  <c r="L519" i="14"/>
  <c r="L507" i="14"/>
  <c r="L495" i="14"/>
  <c r="L483" i="14"/>
  <c r="L471" i="14"/>
  <c r="L459" i="14"/>
  <c r="L447" i="14"/>
  <c r="L435" i="14"/>
  <c r="L423" i="14"/>
  <c r="L411" i="14"/>
  <c r="L399" i="14"/>
  <c r="L387" i="14"/>
  <c r="L375" i="14"/>
  <c r="L363" i="14"/>
  <c r="L351" i="14"/>
  <c r="L339" i="14"/>
  <c r="L327" i="14"/>
  <c r="L315" i="14"/>
  <c r="L303" i="14"/>
  <c r="L291" i="14"/>
  <c r="L279" i="14"/>
  <c r="L267" i="14"/>
  <c r="L255" i="14"/>
  <c r="L243" i="14"/>
  <c r="L231" i="14"/>
  <c r="L219" i="14"/>
  <c r="L207" i="14"/>
  <c r="L195" i="14"/>
  <c r="L183" i="14"/>
  <c r="L171" i="14"/>
  <c r="L159" i="14"/>
  <c r="L147" i="14"/>
  <c r="L135" i="14"/>
  <c r="L123" i="14"/>
  <c r="L111" i="14"/>
  <c r="L99" i="14"/>
  <c r="L87" i="14"/>
  <c r="L75" i="14"/>
  <c r="L63" i="14"/>
  <c r="L51" i="14"/>
  <c r="L39" i="14"/>
  <c r="L27" i="14"/>
  <c r="L15" i="14"/>
  <c r="L4" i="14"/>
  <c r="L838" i="14"/>
  <c r="L825" i="14"/>
  <c r="L812" i="14"/>
  <c r="L799" i="14"/>
  <c r="L786" i="14"/>
  <c r="L773" i="14"/>
  <c r="L760" i="14"/>
  <c r="L746" i="14"/>
  <c r="L733" i="14"/>
  <c r="L720" i="14"/>
  <c r="L707" i="14"/>
  <c r="L694" i="14"/>
  <c r="L681" i="14"/>
  <c r="L668" i="14"/>
  <c r="L655" i="14"/>
  <c r="L642" i="14"/>
  <c r="L629" i="14"/>
  <c r="L616" i="14"/>
  <c r="L602" i="14"/>
  <c r="L589" i="14"/>
  <c r="L576" i="14"/>
  <c r="L563" i="14"/>
  <c r="L550" i="14"/>
  <c r="L537" i="14"/>
  <c r="L524" i="14"/>
  <c r="L511" i="14"/>
  <c r="L498" i="14"/>
  <c r="L485" i="14"/>
  <c r="L472" i="14"/>
  <c r="L458" i="14"/>
  <c r="L445" i="14"/>
  <c r="L432" i="14"/>
  <c r="L419" i="14"/>
  <c r="L406" i="14"/>
  <c r="L393" i="14"/>
  <c r="L380" i="14"/>
  <c r="L367" i="14"/>
  <c r="L354" i="14"/>
  <c r="L341" i="14"/>
  <c r="L328" i="14"/>
  <c r="L314" i="14"/>
  <c r="L301" i="14"/>
  <c r="L288" i="14"/>
  <c r="L275" i="14"/>
  <c r="L262" i="14"/>
  <c r="L249" i="14"/>
  <c r="L236" i="14"/>
  <c r="L223" i="14"/>
  <c r="L210" i="14"/>
  <c r="L197" i="14"/>
  <c r="L184" i="14"/>
  <c r="L170" i="14"/>
  <c r="L157" i="14"/>
  <c r="L144" i="14"/>
  <c r="L131" i="14"/>
  <c r="L118" i="14"/>
  <c r="L105" i="14"/>
  <c r="L92" i="14"/>
  <c r="L79" i="14"/>
  <c r="L66" i="14"/>
  <c r="L53" i="14"/>
  <c r="L40" i="14"/>
  <c r="L26" i="14"/>
  <c r="L13" i="14"/>
  <c r="L837" i="14"/>
  <c r="L824" i="14"/>
  <c r="L811" i="14"/>
  <c r="L798" i="14"/>
  <c r="L785" i="14"/>
  <c r="L772" i="14"/>
  <c r="L758" i="14"/>
  <c r="L745" i="14"/>
  <c r="L732" i="14"/>
  <c r="L719" i="14"/>
  <c r="L706" i="14"/>
  <c r="L693" i="14"/>
  <c r="L680" i="14"/>
  <c r="L667" i="14"/>
  <c r="L654" i="14"/>
  <c r="L641" i="14"/>
  <c r="L628" i="14"/>
  <c r="L614" i="14"/>
  <c r="L601" i="14"/>
  <c r="L588" i="14"/>
  <c r="L575" i="14"/>
  <c r="L562" i="14"/>
  <c r="L549" i="14"/>
  <c r="L536" i="14"/>
  <c r="L523" i="14"/>
  <c r="L510" i="14"/>
  <c r="L497" i="14"/>
  <c r="L484" i="14"/>
  <c r="L470" i="14"/>
  <c r="L457" i="14"/>
  <c r="L444" i="14"/>
  <c r="L431" i="14"/>
  <c r="L418" i="14"/>
  <c r="L840" i="14"/>
  <c r="L823" i="14"/>
  <c r="L808" i="14"/>
  <c r="L792" i="14"/>
  <c r="L777" i="14"/>
  <c r="L762" i="14"/>
  <c r="L744" i="14"/>
  <c r="L729" i="14"/>
  <c r="L714" i="14"/>
  <c r="L698" i="14"/>
  <c r="L683" i="14"/>
  <c r="L666" i="14"/>
  <c r="L650" i="14"/>
  <c r="L635" i="14"/>
  <c r="L620" i="14"/>
  <c r="L605" i="14"/>
  <c r="L587" i="14"/>
  <c r="L572" i="14"/>
  <c r="L557" i="14"/>
  <c r="L541" i="14"/>
  <c r="L526" i="14"/>
  <c r="L509" i="14"/>
  <c r="L493" i="14"/>
  <c r="L478" i="14"/>
  <c r="L463" i="14"/>
  <c r="L448" i="14"/>
  <c r="L430" i="14"/>
  <c r="L415" i="14"/>
  <c r="L401" i="14"/>
  <c r="L386" i="14"/>
  <c r="L372" i="14"/>
  <c r="L358" i="14"/>
  <c r="L344" i="14"/>
  <c r="L330" i="14"/>
  <c r="L316" i="14"/>
  <c r="L300" i="14"/>
  <c r="L286" i="14"/>
  <c r="L272" i="14"/>
  <c r="L258" i="14"/>
  <c r="L244" i="14"/>
  <c r="L229" i="14"/>
  <c r="L215" i="14"/>
  <c r="L201" i="14"/>
  <c r="L187" i="14"/>
  <c r="L173" i="14"/>
  <c r="L158" i="14"/>
  <c r="L143" i="14"/>
  <c r="L129" i="14"/>
  <c r="L115" i="14"/>
  <c r="L101" i="14"/>
  <c r="L86" i="14"/>
  <c r="L72" i="14"/>
  <c r="L58" i="14"/>
  <c r="L44" i="14"/>
  <c r="L30" i="14"/>
  <c r="L16" i="14"/>
  <c r="L828" i="14"/>
  <c r="L813" i="14"/>
  <c r="L796" i="14"/>
  <c r="L780" i="14"/>
  <c r="L765" i="14"/>
  <c r="L750" i="14"/>
  <c r="L734" i="14"/>
  <c r="L717" i="14"/>
  <c r="L702" i="14"/>
  <c r="L686" i="14"/>
  <c r="L671" i="14"/>
  <c r="L656" i="14"/>
  <c r="L638" i="14"/>
  <c r="L623" i="14"/>
  <c r="L608" i="14"/>
  <c r="L593" i="14"/>
  <c r="L577" i="14"/>
  <c r="L560" i="14"/>
  <c r="L545" i="14"/>
  <c r="L529" i="14"/>
  <c r="L514" i="14"/>
  <c r="L499" i="14"/>
  <c r="L481" i="14"/>
  <c r="L466" i="14"/>
  <c r="L451" i="14"/>
  <c r="L436" i="14"/>
  <c r="L420" i="14"/>
  <c r="L404" i="14"/>
  <c r="L390" i="14"/>
  <c r="L376" i="14"/>
  <c r="L361" i="14"/>
  <c r="L347" i="14"/>
  <c r="L333" i="14"/>
  <c r="L319" i="14"/>
  <c r="L305" i="14"/>
  <c r="L290" i="14"/>
  <c r="L276" i="14"/>
  <c r="L261" i="14"/>
  <c r="L247" i="14"/>
  <c r="L233" i="14"/>
  <c r="L218" i="14"/>
  <c r="L204" i="14"/>
  <c r="L190" i="14"/>
  <c r="L176" i="14"/>
  <c r="L162" i="14"/>
  <c r="L148" i="14"/>
  <c r="L133" i="14"/>
  <c r="L119" i="14"/>
  <c r="L104" i="14"/>
  <c r="L90" i="14"/>
  <c r="L76" i="14"/>
  <c r="L61" i="14"/>
  <c r="L47" i="14"/>
  <c r="L33" i="14"/>
  <c r="L19" i="14"/>
  <c r="L5" i="14"/>
  <c r="L841" i="14"/>
  <c r="L826" i="14"/>
  <c r="L809" i="14"/>
  <c r="L793" i="14"/>
  <c r="L778" i="14"/>
  <c r="L763" i="14"/>
  <c r="L748" i="14"/>
  <c r="L730" i="14"/>
  <c r="L715" i="14"/>
  <c r="L700" i="14"/>
  <c r="L684" i="14"/>
  <c r="L669" i="14"/>
  <c r="L652" i="14"/>
  <c r="L636" i="14"/>
  <c r="L621" i="14"/>
  <c r="L606" i="14"/>
  <c r="L590" i="14"/>
  <c r="L573" i="14"/>
  <c r="L558" i="14"/>
  <c r="L542" i="14"/>
  <c r="L527" i="14"/>
  <c r="L512" i="14"/>
  <c r="L494" i="14"/>
  <c r="L479" i="14"/>
  <c r="L464" i="14"/>
  <c r="L449" i="14"/>
  <c r="L433" i="14"/>
  <c r="L416" i="14"/>
  <c r="L402" i="14"/>
  <c r="L388" i="14"/>
  <c r="L373" i="14"/>
  <c r="L359" i="14"/>
  <c r="L345" i="14"/>
  <c r="L331" i="14"/>
  <c r="L317" i="14"/>
  <c r="L302" i="14"/>
  <c r="L287" i="14"/>
  <c r="L273" i="14"/>
  <c r="L259" i="14"/>
  <c r="L245" i="14"/>
  <c r="L230" i="14"/>
  <c r="L216" i="14"/>
  <c r="L202" i="14"/>
  <c r="L188" i="14"/>
  <c r="L174" i="14"/>
  <c r="L160" i="14"/>
  <c r="L145" i="14"/>
  <c r="L130" i="14"/>
  <c r="L116" i="14"/>
  <c r="L102" i="14"/>
  <c r="L88" i="14"/>
  <c r="L73" i="14"/>
  <c r="L59" i="14"/>
  <c r="L45" i="14"/>
  <c r="L31" i="14"/>
  <c r="L17" i="14"/>
  <c r="L835" i="14"/>
  <c r="L816" i="14"/>
  <c r="L794" i="14"/>
  <c r="L774" i="14"/>
  <c r="L830" i="14"/>
  <c r="L806" i="14"/>
  <c r="L788" i="14"/>
  <c r="L767" i="14"/>
  <c r="L743" i="14"/>
  <c r="L725" i="14"/>
  <c r="L704" i="14"/>
  <c r="L682" i="14"/>
  <c r="L661" i="14"/>
  <c r="L643" i="14"/>
  <c r="L619" i="14"/>
  <c r="L598" i="14"/>
  <c r="L580" i="14"/>
  <c r="L556" i="14"/>
  <c r="L535" i="14"/>
  <c r="L516" i="14"/>
  <c r="L492" i="14"/>
  <c r="L474" i="14"/>
  <c r="L453" i="14"/>
  <c r="L429" i="14"/>
  <c r="L410" i="14"/>
  <c r="L392" i="14"/>
  <c r="L371" i="14"/>
  <c r="L353" i="14"/>
  <c r="L335" i="14"/>
  <c r="L313" i="14"/>
  <c r="L296" i="14"/>
  <c r="L278" i="14"/>
  <c r="L257" i="14"/>
  <c r="L239" i="14"/>
  <c r="L221" i="14"/>
  <c r="L200" i="14"/>
  <c r="L181" i="14"/>
  <c r="L164" i="14"/>
  <c r="L142" i="14"/>
  <c r="L125" i="14"/>
  <c r="L107" i="14"/>
  <c r="L85" i="14"/>
  <c r="L68" i="14"/>
  <c r="L49" i="14"/>
  <c r="L29" i="14"/>
  <c r="L10" i="14"/>
  <c r="L827" i="14"/>
  <c r="L802" i="14"/>
  <c r="L776" i="14"/>
  <c r="L753" i="14"/>
  <c r="L728" i="14"/>
  <c r="L708" i="14"/>
  <c r="L685" i="14"/>
  <c r="L660" i="14"/>
  <c r="L637" i="14"/>
  <c r="L613" i="14"/>
  <c r="L594" i="14"/>
  <c r="L569" i="14"/>
  <c r="L547" i="14"/>
  <c r="L522" i="14"/>
  <c r="L502" i="14"/>
  <c r="L477" i="14"/>
  <c r="L455" i="14"/>
  <c r="L434" i="14"/>
  <c r="L409" i="14"/>
  <c r="L389" i="14"/>
  <c r="L368" i="14"/>
  <c r="L348" i="14"/>
  <c r="L325" i="14"/>
  <c r="L307" i="14"/>
  <c r="L284" i="14"/>
  <c r="L265" i="14"/>
  <c r="L242" i="14"/>
  <c r="L224" i="14"/>
  <c r="L203" i="14"/>
  <c r="L180" i="14"/>
  <c r="L161" i="14"/>
  <c r="L139" i="14"/>
  <c r="L120" i="14"/>
  <c r="L97" i="14"/>
  <c r="L78" i="14"/>
  <c r="L56" i="14"/>
  <c r="L36" i="14"/>
  <c r="L14" i="14"/>
  <c r="L832" i="14"/>
  <c r="L804" i="14"/>
  <c r="L781" i="14"/>
  <c r="L755" i="14"/>
  <c r="L736" i="14"/>
  <c r="L710" i="14"/>
  <c r="L689" i="14"/>
  <c r="L664" i="14"/>
  <c r="L644" i="14"/>
  <c r="L618" i="14"/>
  <c r="L596" i="14"/>
  <c r="L571" i="14"/>
  <c r="L551" i="14"/>
  <c r="L528" i="14"/>
  <c r="L504" i="14"/>
  <c r="L482" i="14"/>
  <c r="L460" i="14"/>
  <c r="L438" i="14"/>
  <c r="L413" i="14"/>
  <c r="L394" i="14"/>
  <c r="L370" i="14"/>
  <c r="L350" i="14"/>
  <c r="L329" i="14"/>
  <c r="L309" i="14"/>
  <c r="L289" i="14"/>
  <c r="L268" i="14"/>
  <c r="L248" i="14"/>
  <c r="L817" i="14"/>
  <c r="L787" i="14"/>
  <c r="L756" i="14"/>
  <c r="L727" i="14"/>
  <c r="L701" i="14"/>
  <c r="L674" i="14"/>
  <c r="L647" i="14"/>
  <c r="L622" i="14"/>
  <c r="L592" i="14"/>
  <c r="L565" i="14"/>
  <c r="L538" i="14"/>
  <c r="L508" i="14"/>
  <c r="L486" i="14"/>
  <c r="L454" i="14"/>
  <c r="L426" i="14"/>
  <c r="L400" i="14"/>
  <c r="L378" i="14"/>
  <c r="L352" i="14"/>
  <c r="L324" i="14"/>
  <c r="L299" i="14"/>
  <c r="L277" i="14"/>
  <c r="L252" i="14"/>
  <c r="L227" i="14"/>
  <c r="L206" i="14"/>
  <c r="L182" i="14"/>
  <c r="L156" i="14"/>
  <c r="L137" i="14"/>
  <c r="L113" i="14"/>
  <c r="L93" i="14"/>
  <c r="L69" i="14"/>
  <c r="L46" i="14"/>
  <c r="L23" i="14"/>
  <c r="L834" i="14"/>
  <c r="L803" i="14"/>
  <c r="L821" i="14"/>
  <c r="L791" i="14"/>
  <c r="L764" i="14"/>
  <c r="L738" i="14"/>
  <c r="L709" i="14"/>
  <c r="L678" i="14"/>
  <c r="L653" i="14"/>
  <c r="L626" i="14"/>
  <c r="L599" i="14"/>
  <c r="L570" i="14"/>
  <c r="L544" i="14"/>
  <c r="L517" i="14"/>
  <c r="L489" i="14"/>
  <c r="L462" i="14"/>
  <c r="L437" i="14"/>
  <c r="L407" i="14"/>
  <c r="L382" i="14"/>
  <c r="L357" i="14"/>
  <c r="L334" i="14"/>
  <c r="L308" i="14"/>
  <c r="L282" i="14"/>
  <c r="L256" i="14"/>
  <c r="L234" i="14"/>
  <c r="L211" i="14"/>
  <c r="L189" i="14"/>
  <c r="L166" i="14"/>
  <c r="L141" i="14"/>
  <c r="L121" i="14"/>
  <c r="L96" i="14"/>
  <c r="L74" i="14"/>
  <c r="L52" i="14"/>
  <c r="L820" i="14"/>
  <c r="L790" i="14"/>
  <c r="L761" i="14"/>
  <c r="L737" i="14"/>
  <c r="L705" i="14"/>
  <c r="L677" i="14"/>
  <c r="L649" i="14"/>
  <c r="L625" i="14"/>
  <c r="L597" i="14"/>
  <c r="L568" i="14"/>
  <c r="L540" i="14"/>
  <c r="L515" i="14"/>
  <c r="L488" i="14"/>
  <c r="L461" i="14"/>
  <c r="L428" i="14"/>
  <c r="L405" i="14"/>
  <c r="L381" i="14"/>
  <c r="L356" i="14"/>
  <c r="L332" i="14"/>
  <c r="L306" i="14"/>
  <c r="L281" i="14"/>
  <c r="L254" i="14"/>
  <c r="L232" i="14"/>
  <c r="L209" i="14"/>
  <c r="L186" i="14"/>
  <c r="L165" i="14"/>
  <c r="L140" i="14"/>
  <c r="L117" i="14"/>
  <c r="L95" i="14"/>
  <c r="L71" i="14"/>
  <c r="L50" i="14"/>
  <c r="L25" i="14"/>
  <c r="L6" i="14"/>
  <c r="L818" i="14"/>
  <c r="L789" i="14"/>
  <c r="L757" i="14"/>
  <c r="L731" i="14"/>
  <c r="L703" i="14"/>
  <c r="L676" i="14"/>
  <c r="L648" i="14"/>
  <c r="L624" i="14"/>
  <c r="L595" i="14"/>
  <c r="L566" i="14"/>
  <c r="L539" i="14"/>
  <c r="L513" i="14"/>
  <c r="L487" i="14"/>
  <c r="L456" i="14"/>
  <c r="L427" i="14"/>
  <c r="L403" i="14"/>
  <c r="L379" i="14"/>
  <c r="L355" i="14"/>
  <c r="L326" i="14"/>
  <c r="L304" i="14"/>
  <c r="L280" i="14"/>
  <c r="L253" i="14"/>
  <c r="L228" i="14"/>
  <c r="L208" i="14"/>
  <c r="L185" i="14"/>
  <c r="L163" i="14"/>
  <c r="L138" i="14"/>
  <c r="L114" i="14"/>
  <c r="L94" i="14"/>
  <c r="L70" i="14"/>
  <c r="L48" i="14"/>
  <c r="L815" i="14"/>
  <c r="L769" i="14"/>
  <c r="L724" i="14"/>
  <c r="L690" i="14"/>
  <c r="L645" i="14"/>
  <c r="L607" i="14"/>
  <c r="L561" i="14"/>
  <c r="L521" i="14"/>
  <c r="L476" i="14"/>
  <c r="L441" i="14"/>
  <c r="L397" i="14"/>
  <c r="L364" i="14"/>
  <c r="L322" i="14"/>
  <c r="L292" i="14"/>
  <c r="L250" i="14"/>
  <c r="L214" i="14"/>
  <c r="L178" i="14"/>
  <c r="L150" i="14"/>
  <c r="L110" i="14"/>
  <c r="L81" i="14"/>
  <c r="L42" i="14"/>
  <c r="L18" i="14"/>
  <c r="L814" i="14"/>
  <c r="L768" i="14"/>
  <c r="L722" i="14"/>
  <c r="L688" i="14"/>
  <c r="L640" i="14"/>
  <c r="L604" i="14"/>
  <c r="L559" i="14"/>
  <c r="L520" i="14"/>
  <c r="L475" i="14"/>
  <c r="L440" i="14"/>
  <c r="L396" i="14"/>
  <c r="L362" i="14"/>
  <c r="L321" i="14"/>
  <c r="L285" i="14"/>
  <c r="L246" i="14"/>
  <c r="L213" i="14"/>
  <c r="L177" i="14"/>
  <c r="L149" i="14"/>
  <c r="L109" i="14"/>
  <c r="L80" i="14"/>
  <c r="L41" i="14"/>
  <c r="L12" i="14"/>
  <c r="L800" i="14"/>
  <c r="L751" i="14"/>
  <c r="L713" i="14"/>
  <c r="L670" i="14"/>
  <c r="L631" i="14"/>
  <c r="L584" i="14"/>
  <c r="L548" i="14"/>
  <c r="L503" i="14"/>
  <c r="L467" i="14"/>
  <c r="L422" i="14"/>
  <c r="L384" i="14"/>
  <c r="L343" i="14"/>
  <c r="L311" i="14"/>
  <c r="L270" i="14"/>
  <c r="L237" i="14"/>
  <c r="L198" i="14"/>
  <c r="L168" i="14"/>
  <c r="L132" i="14"/>
  <c r="L100" i="14"/>
  <c r="L64" i="14"/>
  <c r="L34" i="14"/>
  <c r="L7" i="14"/>
  <c r="L836" i="14"/>
  <c r="L782" i="14"/>
  <c r="L741" i="14"/>
  <c r="L696" i="14"/>
  <c r="L659" i="14"/>
  <c r="L612" i="14"/>
  <c r="L581" i="14"/>
  <c r="L533" i="14"/>
  <c r="L496" i="14"/>
  <c r="L450" i="14"/>
  <c r="L414" i="14"/>
  <c r="L374" i="14"/>
  <c r="L338" i="14"/>
  <c r="L297" i="14"/>
  <c r="L264" i="14"/>
  <c r="L225" i="14"/>
  <c r="L193" i="14"/>
  <c r="L154" i="14"/>
  <c r="L126" i="14"/>
  <c r="L89" i="14"/>
  <c r="L57" i="14"/>
  <c r="L833" i="14"/>
  <c r="L779" i="14"/>
  <c r="L740" i="14"/>
  <c r="L695" i="14"/>
  <c r="L658" i="14"/>
  <c r="L611" i="14"/>
  <c r="L578" i="14"/>
  <c r="L532" i="14"/>
  <c r="L491" i="14"/>
  <c r="L446" i="14"/>
  <c r="L412" i="14"/>
  <c r="L369" i="14"/>
  <c r="L337" i="14"/>
  <c r="L295" i="14"/>
  <c r="L263" i="14"/>
  <c r="L222" i="14"/>
  <c r="L192" i="14"/>
  <c r="L153" i="14"/>
  <c r="L124" i="14"/>
  <c r="L84" i="14"/>
  <c r="L55" i="14"/>
  <c r="L22" i="14"/>
  <c r="L829" i="14"/>
  <c r="L775" i="14"/>
  <c r="L739" i="14"/>
  <c r="L692" i="14"/>
  <c r="L657" i="14"/>
  <c r="L610" i="14"/>
  <c r="L574" i="14"/>
  <c r="L530" i="14"/>
  <c r="L490" i="14"/>
  <c r="L443" i="14"/>
  <c r="L408" i="14"/>
  <c r="L366" i="14"/>
  <c r="L336" i="14"/>
  <c r="L294" i="14"/>
  <c r="L260" i="14"/>
  <c r="L220" i="14"/>
  <c r="L191" i="14"/>
  <c r="L152" i="14"/>
  <c r="L122" i="14"/>
  <c r="L83" i="14"/>
  <c r="L54" i="14"/>
  <c r="L21" i="14"/>
  <c r="L822" i="14"/>
  <c r="L770" i="14"/>
  <c r="L726" i="14"/>
  <c r="L691" i="14"/>
  <c r="L646" i="14"/>
  <c r="L609" i="14"/>
  <c r="L564" i="14"/>
  <c r="L525" i="14"/>
  <c r="L480" i="14"/>
  <c r="L442" i="14"/>
  <c r="L398" i="14"/>
  <c r="L365" i="14"/>
  <c r="L323" i="14"/>
  <c r="L293" i="14"/>
  <c r="L251" i="14"/>
  <c r="L217" i="14"/>
  <c r="L179" i="14"/>
  <c r="L151" i="14"/>
  <c r="L112" i="14"/>
  <c r="L82" i="14"/>
  <c r="L43" i="14"/>
  <c r="L20" i="14"/>
  <c r="L754" i="14"/>
  <c r="L665" i="14"/>
  <c r="L554" i="14"/>
  <c r="L468" i="14"/>
  <c r="L377" i="14"/>
  <c r="L274" i="14"/>
  <c r="L196" i="14"/>
  <c r="L108" i="14"/>
  <c r="L35" i="14"/>
  <c r="L752" i="14"/>
  <c r="L662" i="14"/>
  <c r="L553" i="14"/>
  <c r="L465" i="14"/>
  <c r="L360" i="14"/>
  <c r="L271" i="14"/>
  <c r="L194" i="14"/>
  <c r="L106" i="14"/>
  <c r="L32" i="14"/>
  <c r="L839" i="14"/>
  <c r="L718" i="14"/>
  <c r="L630" i="14"/>
  <c r="L518" i="14"/>
  <c r="L424" i="14"/>
  <c r="L340" i="14"/>
  <c r="L240" i="14"/>
  <c r="L167" i="14"/>
  <c r="L77" i="14"/>
  <c r="L9" i="14"/>
  <c r="L801" i="14"/>
  <c r="L697" i="14"/>
  <c r="L586" i="14"/>
  <c r="L501" i="14"/>
  <c r="L395" i="14"/>
  <c r="L312" i="14"/>
  <c r="L226" i="14"/>
  <c r="L136" i="14"/>
  <c r="L62" i="14"/>
  <c r="L797" i="14"/>
  <c r="L679" i="14"/>
  <c r="L585" i="14"/>
  <c r="L500" i="14"/>
  <c r="L391" i="14"/>
  <c r="L310" i="14"/>
  <c r="L212" i="14"/>
  <c r="L134" i="14"/>
  <c r="L60" i="14"/>
  <c r="L784" i="14"/>
  <c r="L673" i="14"/>
  <c r="L583" i="14"/>
  <c r="L473" i="14"/>
  <c r="L385" i="14"/>
  <c r="L298" i="14"/>
  <c r="L205" i="14"/>
  <c r="L128" i="14"/>
  <c r="L38" i="14"/>
  <c r="L766" i="14"/>
  <c r="L672" i="14"/>
  <c r="L582" i="14"/>
  <c r="L469" i="14"/>
  <c r="L383" i="14"/>
  <c r="L283" i="14"/>
  <c r="L199" i="14"/>
  <c r="L127" i="14"/>
  <c r="L37" i="14"/>
  <c r="L617" i="14"/>
  <c r="L349" i="14"/>
  <c r="L169" i="14"/>
  <c r="L842" i="14"/>
  <c r="L600" i="14"/>
  <c r="L346" i="14"/>
  <c r="L155" i="14"/>
  <c r="L742" i="14"/>
  <c r="L506" i="14"/>
  <c r="L269" i="14"/>
  <c r="L91" i="14"/>
  <c r="L712" i="14"/>
  <c r="L439" i="14"/>
  <c r="L238" i="14"/>
  <c r="L28" i="14"/>
  <c r="L634" i="14"/>
  <c r="L425" i="14"/>
  <c r="L235" i="14"/>
  <c r="L24" i="14"/>
  <c r="L633" i="14"/>
  <c r="L421" i="14"/>
  <c r="L175" i="14"/>
  <c r="L11" i="14"/>
  <c r="L632" i="14"/>
  <c r="L417" i="14"/>
  <c r="L172" i="14"/>
  <c r="L8" i="14"/>
  <c r="L749" i="14"/>
  <c r="L241" i="14"/>
  <c r="L716" i="14"/>
  <c r="L103" i="14"/>
  <c r="L552" i="14"/>
  <c r="L98" i="14"/>
  <c r="L546" i="14"/>
  <c r="L67" i="14"/>
  <c r="L805" i="14"/>
  <c r="L721" i="14"/>
  <c r="L534" i="14"/>
  <c r="L342" i="14"/>
  <c r="L318" i="14"/>
  <c r="L266" i="14"/>
  <c r="L146" i="14"/>
  <c r="L65" i="14"/>
  <c r="L810" i="14"/>
  <c r="L505" i="14"/>
  <c r="L452" i="14"/>
  <c r="L320" i="14"/>
  <c r="F835" i="14"/>
  <c r="F823" i="14"/>
  <c r="F811" i="14"/>
  <c r="F799" i="14"/>
  <c r="F787" i="14"/>
  <c r="F775" i="14"/>
  <c r="F763" i="14"/>
  <c r="F751" i="14"/>
  <c r="F739" i="14"/>
  <c r="F727" i="14"/>
  <c r="F715" i="14"/>
  <c r="F703" i="14"/>
  <c r="F691" i="14"/>
  <c r="F679" i="14"/>
  <c r="F667" i="14"/>
  <c r="F655" i="14"/>
  <c r="F643" i="14"/>
  <c r="F631" i="14"/>
  <c r="F619" i="14"/>
  <c r="F607" i="14"/>
  <c r="F595" i="14"/>
  <c r="F583" i="14"/>
  <c r="F571" i="14"/>
  <c r="F559" i="14"/>
  <c r="F547" i="14"/>
  <c r="F535" i="14"/>
  <c r="F523" i="14"/>
  <c r="F511" i="14"/>
  <c r="F499" i="14"/>
  <c r="F487" i="14"/>
  <c r="F475" i="14"/>
  <c r="F463" i="14"/>
  <c r="F451" i="14"/>
  <c r="F439" i="14"/>
  <c r="F427" i="14"/>
  <c r="F415" i="14"/>
  <c r="F403" i="14"/>
  <c r="F391" i="14"/>
  <c r="F379" i="14"/>
  <c r="F367" i="14"/>
  <c r="F355" i="14"/>
  <c r="F343" i="14"/>
  <c r="F331" i="14"/>
  <c r="F319" i="14"/>
  <c r="F307" i="14"/>
  <c r="F295" i="14"/>
  <c r="F283" i="14"/>
  <c r="F271" i="14"/>
  <c r="F259" i="14"/>
  <c r="F247" i="14"/>
  <c r="F235" i="14"/>
  <c r="F223" i="14"/>
  <c r="F211" i="14"/>
  <c r="F199" i="14"/>
  <c r="F187" i="14"/>
  <c r="F175" i="14"/>
  <c r="F163" i="14"/>
  <c r="F151" i="14"/>
  <c r="F139" i="14"/>
  <c r="F127" i="14"/>
  <c r="F115" i="14"/>
  <c r="F103" i="14"/>
  <c r="F91" i="14"/>
  <c r="F79" i="14"/>
  <c r="F67" i="14"/>
  <c r="F55" i="14"/>
  <c r="F43" i="14"/>
  <c r="F31" i="14"/>
  <c r="F19" i="14"/>
  <c r="F7" i="14"/>
  <c r="F838" i="14"/>
  <c r="F826" i="14"/>
  <c r="F814" i="14"/>
  <c r="F802" i="14"/>
  <c r="F836" i="14"/>
  <c r="F824" i="14"/>
  <c r="F812" i="14"/>
  <c r="F834" i="14"/>
  <c r="F819" i="14"/>
  <c r="F804" i="14"/>
  <c r="F790" i="14"/>
  <c r="F777" i="14"/>
  <c r="F764" i="14"/>
  <c r="F750" i="14"/>
  <c r="F737" i="14"/>
  <c r="F724" i="14"/>
  <c r="F711" i="14"/>
  <c r="F698" i="14"/>
  <c r="F685" i="14"/>
  <c r="F672" i="14"/>
  <c r="F659" i="14"/>
  <c r="F646" i="14"/>
  <c r="F633" i="14"/>
  <c r="F620" i="14"/>
  <c r="F606" i="14"/>
  <c r="F593" i="14"/>
  <c r="F580" i="14"/>
  <c r="F567" i="14"/>
  <c r="F554" i="14"/>
  <c r="F541" i="14"/>
  <c r="F528" i="14"/>
  <c r="F515" i="14"/>
  <c r="F502" i="14"/>
  <c r="F489" i="14"/>
  <c r="F476" i="14"/>
  <c r="F462" i="14"/>
  <c r="F449" i="14"/>
  <c r="F436" i="14"/>
  <c r="F423" i="14"/>
  <c r="F410" i="14"/>
  <c r="F397" i="14"/>
  <c r="F384" i="14"/>
  <c r="F371" i="14"/>
  <c r="F358" i="14"/>
  <c r="F345" i="14"/>
  <c r="F332" i="14"/>
  <c r="F318" i="14"/>
  <c r="F305" i="14"/>
  <c r="F292" i="14"/>
  <c r="F279" i="14"/>
  <c r="F266" i="14"/>
  <c r="F253" i="14"/>
  <c r="F240" i="14"/>
  <c r="F227" i="14"/>
  <c r="F214" i="14"/>
  <c r="F201" i="14"/>
  <c r="F188" i="14"/>
  <c r="F174" i="14"/>
  <c r="F161" i="14"/>
  <c r="F148" i="14"/>
  <c r="F135" i="14"/>
  <c r="F122" i="14"/>
  <c r="F109" i="14"/>
  <c r="F96" i="14"/>
  <c r="F83" i="14"/>
  <c r="F70" i="14"/>
  <c r="F57" i="14"/>
  <c r="F44" i="14"/>
  <c r="F30" i="14"/>
  <c r="F17" i="14"/>
  <c r="F833" i="14"/>
  <c r="F818" i="14"/>
  <c r="F803" i="14"/>
  <c r="F789" i="14"/>
  <c r="F776" i="14"/>
  <c r="F762" i="14"/>
  <c r="F749" i="14"/>
  <c r="F736" i="14"/>
  <c r="F723" i="14"/>
  <c r="F710" i="14"/>
  <c r="F697" i="14"/>
  <c r="F684" i="14"/>
  <c r="F671" i="14"/>
  <c r="F658" i="14"/>
  <c r="F645" i="14"/>
  <c r="F632" i="14"/>
  <c r="F618" i="14"/>
  <c r="F605" i="14"/>
  <c r="F592" i="14"/>
  <c r="F579" i="14"/>
  <c r="F566" i="14"/>
  <c r="F553" i="14"/>
  <c r="F540" i="14"/>
  <c r="F527" i="14"/>
  <c r="F514" i="14"/>
  <c r="F501" i="14"/>
  <c r="F488" i="14"/>
  <c r="F474" i="14"/>
  <c r="F461" i="14"/>
  <c r="F448" i="14"/>
  <c r="F435" i="14"/>
  <c r="F422" i="14"/>
  <c r="F409" i="14"/>
  <c r="F396" i="14"/>
  <c r="F383" i="14"/>
  <c r="F370" i="14"/>
  <c r="F357" i="14"/>
  <c r="F344" i="14"/>
  <c r="F330" i="14"/>
  <c r="F317" i="14"/>
  <c r="F304" i="14"/>
  <c r="F291" i="14"/>
  <c r="F278" i="14"/>
  <c r="F265" i="14"/>
  <c r="F252" i="14"/>
  <c r="F239" i="14"/>
  <c r="F226" i="14"/>
  <c r="F213" i="14"/>
  <c r="F200" i="14"/>
  <c r="F186" i="14"/>
  <c r="F173" i="14"/>
  <c r="F160" i="14"/>
  <c r="F147" i="14"/>
  <c r="F134" i="14"/>
  <c r="F121" i="14"/>
  <c r="F108" i="14"/>
  <c r="F95" i="14"/>
  <c r="F82" i="14"/>
  <c r="F69" i="14"/>
  <c r="F56" i="14"/>
  <c r="F42" i="14"/>
  <c r="F29" i="14"/>
  <c r="F16" i="14"/>
  <c r="F4" i="14"/>
  <c r="F839" i="14"/>
  <c r="F821" i="14"/>
  <c r="F806" i="14"/>
  <c r="F792" i="14"/>
  <c r="F779" i="14"/>
  <c r="F766" i="14"/>
  <c r="F753" i="14"/>
  <c r="F740" i="14"/>
  <c r="F726" i="14"/>
  <c r="F713" i="14"/>
  <c r="F700" i="14"/>
  <c r="F687" i="14"/>
  <c r="F674" i="14"/>
  <c r="F661" i="14"/>
  <c r="F648" i="14"/>
  <c r="F635" i="14"/>
  <c r="F622" i="14"/>
  <c r="F609" i="14"/>
  <c r="F596" i="14"/>
  <c r="F582" i="14"/>
  <c r="F569" i="14"/>
  <c r="F556" i="14"/>
  <c r="F543" i="14"/>
  <c r="F530" i="14"/>
  <c r="F517" i="14"/>
  <c r="F504" i="14"/>
  <c r="F491" i="14"/>
  <c r="F478" i="14"/>
  <c r="F465" i="14"/>
  <c r="F452" i="14"/>
  <c r="F438" i="14"/>
  <c r="F425" i="14"/>
  <c r="F412" i="14"/>
  <c r="F399" i="14"/>
  <c r="F386" i="14"/>
  <c r="F373" i="14"/>
  <c r="F360" i="14"/>
  <c r="F347" i="14"/>
  <c r="F334" i="14"/>
  <c r="F321" i="14"/>
  <c r="F308" i="14"/>
  <c r="F294" i="14"/>
  <c r="F281" i="14"/>
  <c r="F268" i="14"/>
  <c r="F255" i="14"/>
  <c r="F242" i="14"/>
  <c r="F229" i="14"/>
  <c r="F216" i="14"/>
  <c r="F203" i="14"/>
  <c r="F190" i="14"/>
  <c r="F177" i="14"/>
  <c r="F164" i="14"/>
  <c r="F828" i="14"/>
  <c r="F807" i="14"/>
  <c r="F786" i="14"/>
  <c r="F770" i="14"/>
  <c r="F754" i="14"/>
  <c r="F734" i="14"/>
  <c r="F718" i="14"/>
  <c r="F701" i="14"/>
  <c r="F682" i="14"/>
  <c r="F665" i="14"/>
  <c r="F649" i="14"/>
  <c r="F629" i="14"/>
  <c r="F613" i="14"/>
  <c r="F597" i="14"/>
  <c r="F577" i="14"/>
  <c r="F561" i="14"/>
  <c r="F544" i="14"/>
  <c r="F525" i="14"/>
  <c r="F508" i="14"/>
  <c r="F492" i="14"/>
  <c r="F472" i="14"/>
  <c r="F456" i="14"/>
  <c r="F440" i="14"/>
  <c r="F420" i="14"/>
  <c r="F404" i="14"/>
  <c r="F387" i="14"/>
  <c r="F368" i="14"/>
  <c r="F351" i="14"/>
  <c r="F335" i="14"/>
  <c r="F315" i="14"/>
  <c r="F299" i="14"/>
  <c r="F282" i="14"/>
  <c r="F263" i="14"/>
  <c r="F246" i="14"/>
  <c r="F230" i="14"/>
  <c r="F210" i="14"/>
  <c r="F194" i="14"/>
  <c r="F178" i="14"/>
  <c r="F158" i="14"/>
  <c r="F143" i="14"/>
  <c r="F128" i="14"/>
  <c r="F112" i="14"/>
  <c r="F97" i="14"/>
  <c r="F80" i="14"/>
  <c r="F64" i="14"/>
  <c r="F49" i="14"/>
  <c r="F34" i="14"/>
  <c r="F18" i="14"/>
  <c r="F841" i="14"/>
  <c r="F817" i="14"/>
  <c r="F797" i="14"/>
  <c r="F781" i="14"/>
  <c r="F761" i="14"/>
  <c r="F745" i="14"/>
  <c r="F729" i="14"/>
  <c r="F709" i="14"/>
  <c r="F693" i="14"/>
  <c r="F676" i="14"/>
  <c r="F657" i="14"/>
  <c r="F640" i="14"/>
  <c r="F624" i="14"/>
  <c r="F604" i="14"/>
  <c r="F588" i="14"/>
  <c r="F572" i="14"/>
  <c r="F552" i="14"/>
  <c r="F536" i="14"/>
  <c r="F519" i="14"/>
  <c r="F500" i="14"/>
  <c r="F483" i="14"/>
  <c r="F467" i="14"/>
  <c r="F447" i="14"/>
  <c r="F431" i="14"/>
  <c r="F414" i="14"/>
  <c r="F395" i="14"/>
  <c r="F378" i="14"/>
  <c r="F362" i="14"/>
  <c r="F342" i="14"/>
  <c r="F326" i="14"/>
  <c r="F310" i="14"/>
  <c r="F290" i="14"/>
  <c r="F274" i="14"/>
  <c r="F257" i="14"/>
  <c r="F238" i="14"/>
  <c r="F221" i="14"/>
  <c r="F205" i="14"/>
  <c r="F185" i="14"/>
  <c r="F169" i="14"/>
  <c r="F153" i="14"/>
  <c r="F137" i="14"/>
  <c r="F120" i="14"/>
  <c r="F105" i="14"/>
  <c r="F89" i="14"/>
  <c r="F74" i="14"/>
  <c r="F59" i="14"/>
  <c r="F41" i="14"/>
  <c r="F26" i="14"/>
  <c r="F11" i="14"/>
  <c r="F832" i="14"/>
  <c r="F813" i="14"/>
  <c r="F794" i="14"/>
  <c r="F774" i="14"/>
  <c r="F758" i="14"/>
  <c r="F742" i="14"/>
  <c r="F722" i="14"/>
  <c r="F706" i="14"/>
  <c r="F689" i="14"/>
  <c r="F670" i="14"/>
  <c r="F653" i="14"/>
  <c r="F637" i="14"/>
  <c r="F617" i="14"/>
  <c r="F601" i="14"/>
  <c r="F585" i="14"/>
  <c r="F565" i="14"/>
  <c r="F549" i="14"/>
  <c r="F532" i="14"/>
  <c r="F513" i="14"/>
  <c r="F496" i="14"/>
  <c r="F480" i="14"/>
  <c r="F460" i="14"/>
  <c r="F444" i="14"/>
  <c r="F428" i="14"/>
  <c r="F408" i="14"/>
  <c r="F392" i="14"/>
  <c r="F375" i="14"/>
  <c r="F356" i="14"/>
  <c r="F339" i="14"/>
  <c r="F323" i="14"/>
  <c r="F303" i="14"/>
  <c r="F287" i="14"/>
  <c r="F270" i="14"/>
  <c r="F251" i="14"/>
  <c r="F234" i="14"/>
  <c r="F218" i="14"/>
  <c r="F198" i="14"/>
  <c r="F182" i="14"/>
  <c r="F166" i="14"/>
  <c r="F149" i="14"/>
  <c r="F132" i="14"/>
  <c r="F117" i="14"/>
  <c r="F101" i="14"/>
  <c r="F86" i="14"/>
  <c r="F71" i="14"/>
  <c r="F53" i="14"/>
  <c r="F38" i="14"/>
  <c r="F23" i="14"/>
  <c r="F8" i="14"/>
  <c r="F831" i="14"/>
  <c r="F810" i="14"/>
  <c r="F793" i="14"/>
  <c r="F773" i="14"/>
  <c r="F757" i="14"/>
  <c r="F741" i="14"/>
  <c r="F721" i="14"/>
  <c r="F705" i="14"/>
  <c r="F688" i="14"/>
  <c r="F669" i="14"/>
  <c r="F652" i="14"/>
  <c r="F636" i="14"/>
  <c r="F616" i="14"/>
  <c r="F600" i="14"/>
  <c r="F584" i="14"/>
  <c r="F564" i="14"/>
  <c r="F548" i="14"/>
  <c r="F531" i="14"/>
  <c r="F512" i="14"/>
  <c r="F495" i="14"/>
  <c r="F479" i="14"/>
  <c r="F459" i="14"/>
  <c r="F443" i="14"/>
  <c r="F426" i="14"/>
  <c r="F407" i="14"/>
  <c r="F390" i="14"/>
  <c r="F374" i="14"/>
  <c r="F354" i="14"/>
  <c r="F338" i="14"/>
  <c r="F322" i="14"/>
  <c r="F302" i="14"/>
  <c r="F286" i="14"/>
  <c r="F269" i="14"/>
  <c r="F250" i="14"/>
  <c r="F233" i="14"/>
  <c r="F217" i="14"/>
  <c r="F197" i="14"/>
  <c r="F181" i="14"/>
  <c r="F165" i="14"/>
  <c r="F146" i="14"/>
  <c r="F131" i="14"/>
  <c r="F116" i="14"/>
  <c r="F100" i="14"/>
  <c r="F85" i="14"/>
  <c r="F68" i="14"/>
  <c r="F52" i="14"/>
  <c r="F37" i="14"/>
  <c r="F22" i="14"/>
  <c r="F6" i="14"/>
  <c r="F830" i="14"/>
  <c r="F809" i="14"/>
  <c r="F791" i="14"/>
  <c r="F772" i="14"/>
  <c r="F756" i="14"/>
  <c r="F738" i="14"/>
  <c r="F720" i="14"/>
  <c r="F704" i="14"/>
  <c r="F686" i="14"/>
  <c r="F668" i="14"/>
  <c r="F651" i="14"/>
  <c r="F634" i="14"/>
  <c r="F615" i="14"/>
  <c r="F599" i="14"/>
  <c r="F581" i="14"/>
  <c r="F563" i="14"/>
  <c r="F546" i="14"/>
  <c r="F529" i="14"/>
  <c r="F510" i="14"/>
  <c r="F494" i="14"/>
  <c r="F477" i="14"/>
  <c r="F458" i="14"/>
  <c r="F442" i="14"/>
  <c r="F424" i="14"/>
  <c r="F406" i="14"/>
  <c r="F389" i="14"/>
  <c r="F372" i="14"/>
  <c r="F353" i="14"/>
  <c r="F337" i="14"/>
  <c r="F320" i="14"/>
  <c r="F301" i="14"/>
  <c r="F285" i="14"/>
  <c r="F267" i="14"/>
  <c r="F249" i="14"/>
  <c r="F232" i="14"/>
  <c r="F215" i="14"/>
  <c r="F196" i="14"/>
  <c r="F180" i="14"/>
  <c r="F162" i="14"/>
  <c r="F145" i="14"/>
  <c r="F130" i="14"/>
  <c r="F114" i="14"/>
  <c r="F99" i="14"/>
  <c r="F84" i="14"/>
  <c r="F66" i="14"/>
  <c r="F51" i="14"/>
  <c r="F36" i="14"/>
  <c r="F21" i="14"/>
  <c r="F5" i="14"/>
  <c r="F829" i="14"/>
  <c r="F808" i="14"/>
  <c r="F788" i="14"/>
  <c r="F771" i="14"/>
  <c r="F755" i="14"/>
  <c r="F735" i="14"/>
  <c r="F719" i="14"/>
  <c r="F702" i="14"/>
  <c r="F683" i="14"/>
  <c r="F666" i="14"/>
  <c r="F650" i="14"/>
  <c r="F630" i="14"/>
  <c r="F614" i="14"/>
  <c r="F598" i="14"/>
  <c r="F578" i="14"/>
  <c r="F562" i="14"/>
  <c r="F545" i="14"/>
  <c r="F526" i="14"/>
  <c r="F509" i="14"/>
  <c r="F493" i="14"/>
  <c r="F473" i="14"/>
  <c r="F457" i="14"/>
  <c r="F441" i="14"/>
  <c r="F421" i="14"/>
  <c r="F405" i="14"/>
  <c r="F388" i="14"/>
  <c r="F369" i="14"/>
  <c r="F352" i="14"/>
  <c r="F336" i="14"/>
  <c r="F316" i="14"/>
  <c r="F300" i="14"/>
  <c r="F284" i="14"/>
  <c r="F264" i="14"/>
  <c r="F248" i="14"/>
  <c r="F231" i="14"/>
  <c r="F212" i="14"/>
  <c r="F195" i="14"/>
  <c r="F179" i="14"/>
  <c r="F159" i="14"/>
  <c r="F144" i="14"/>
  <c r="F129" i="14"/>
  <c r="F113" i="14"/>
  <c r="F98" i="14"/>
  <c r="F81" i="14"/>
  <c r="F65" i="14"/>
  <c r="F50" i="14"/>
  <c r="F35" i="14"/>
  <c r="F20" i="14"/>
  <c r="F816" i="14"/>
  <c r="F780" i="14"/>
  <c r="F744" i="14"/>
  <c r="F708" i="14"/>
  <c r="F675" i="14"/>
  <c r="F639" i="14"/>
  <c r="F603" i="14"/>
  <c r="F570" i="14"/>
  <c r="F534" i="14"/>
  <c r="F498" i="14"/>
  <c r="F466" i="14"/>
  <c r="F430" i="14"/>
  <c r="F394" i="14"/>
  <c r="F361" i="14"/>
  <c r="F325" i="14"/>
  <c r="F289" i="14"/>
  <c r="F256" i="14"/>
  <c r="F220" i="14"/>
  <c r="F184" i="14"/>
  <c r="F152" i="14"/>
  <c r="F119" i="14"/>
  <c r="F88" i="14"/>
  <c r="F58" i="14"/>
  <c r="F25" i="14"/>
  <c r="F815" i="14"/>
  <c r="F778" i="14"/>
  <c r="F743" i="14"/>
  <c r="F707" i="14"/>
  <c r="F673" i="14"/>
  <c r="F638" i="14"/>
  <c r="F602" i="14"/>
  <c r="F568" i="14"/>
  <c r="F533" i="14"/>
  <c r="F497" i="14"/>
  <c r="F464" i="14"/>
  <c r="F429" i="14"/>
  <c r="F393" i="14"/>
  <c r="F359" i="14"/>
  <c r="F324" i="14"/>
  <c r="F288" i="14"/>
  <c r="F254" i="14"/>
  <c r="F219" i="14"/>
  <c r="F183" i="14"/>
  <c r="F150" i="14"/>
  <c r="F118" i="14"/>
  <c r="F87" i="14"/>
  <c r="F54" i="14"/>
  <c r="F24" i="14"/>
  <c r="F805" i="14"/>
  <c r="F769" i="14"/>
  <c r="F733" i="14"/>
  <c r="F699" i="14"/>
  <c r="F664" i="14"/>
  <c r="F628" i="14"/>
  <c r="F594" i="14"/>
  <c r="F560" i="14"/>
  <c r="F524" i="14"/>
  <c r="F490" i="14"/>
  <c r="F455" i="14"/>
  <c r="F419" i="14"/>
  <c r="F385" i="14"/>
  <c r="F350" i="14"/>
  <c r="F314" i="14"/>
  <c r="F280" i="14"/>
  <c r="F245" i="14"/>
  <c r="F209" i="14"/>
  <c r="F176" i="14"/>
  <c r="F142" i="14"/>
  <c r="F111" i="14"/>
  <c r="F78" i="14"/>
  <c r="F48" i="14"/>
  <c r="F15" i="14"/>
  <c r="F798" i="14"/>
  <c r="F752" i="14"/>
  <c r="F712" i="14"/>
  <c r="F660" i="14"/>
  <c r="F612" i="14"/>
  <c r="F573" i="14"/>
  <c r="F520" i="14"/>
  <c r="F471" i="14"/>
  <c r="F432" i="14"/>
  <c r="F380" i="14"/>
  <c r="F333" i="14"/>
  <c r="F293" i="14"/>
  <c r="F241" i="14"/>
  <c r="F193" i="14"/>
  <c r="F154" i="14"/>
  <c r="F106" i="14"/>
  <c r="F63" i="14"/>
  <c r="F27" i="14"/>
  <c r="F796" i="14"/>
  <c r="F748" i="14"/>
  <c r="F696" i="14"/>
  <c r="F656" i="14"/>
  <c r="F611" i="14"/>
  <c r="F558" i="14"/>
  <c r="F518" i="14"/>
  <c r="F470" i="14"/>
  <c r="F418" i="14"/>
  <c r="F377" i="14"/>
  <c r="F329" i="14"/>
  <c r="F277" i="14"/>
  <c r="F237" i="14"/>
  <c r="F192" i="14"/>
  <c r="F141" i="14"/>
  <c r="F104" i="14"/>
  <c r="F62" i="14"/>
  <c r="F14" i="14"/>
  <c r="F843" i="14"/>
  <c r="F795" i="14"/>
  <c r="F747" i="14"/>
  <c r="F695" i="14"/>
  <c r="F654" i="14"/>
  <c r="F610" i="14"/>
  <c r="F557" i="14"/>
  <c r="F516" i="14"/>
  <c r="F469" i="14"/>
  <c r="F417" i="14"/>
  <c r="F376" i="14"/>
  <c r="F328" i="14"/>
  <c r="F276" i="14"/>
  <c r="F236" i="14"/>
  <c r="F191" i="14"/>
  <c r="F140" i="14"/>
  <c r="F102" i="14"/>
  <c r="F61" i="14"/>
  <c r="F13" i="14"/>
  <c r="F837" i="14"/>
  <c r="F783" i="14"/>
  <c r="F731" i="14"/>
  <c r="F690" i="14"/>
  <c r="F642" i="14"/>
  <c r="F590" i="14"/>
  <c r="F550" i="14"/>
  <c r="F505" i="14"/>
  <c r="F453" i="14"/>
  <c r="F411" i="14"/>
  <c r="F364" i="14"/>
  <c r="F312" i="14"/>
  <c r="F272" i="14"/>
  <c r="F224" i="14"/>
  <c r="F171" i="14"/>
  <c r="F133" i="14"/>
  <c r="F92" i="14"/>
  <c r="F46" i="14"/>
  <c r="F9" i="14"/>
  <c r="F825" i="14"/>
  <c r="F768" i="14"/>
  <c r="F728" i="14"/>
  <c r="F680" i="14"/>
  <c r="F627" i="14"/>
  <c r="F587" i="14"/>
  <c r="F539" i="14"/>
  <c r="F486" i="14"/>
  <c r="F446" i="14"/>
  <c r="F401" i="14"/>
  <c r="F349" i="14"/>
  <c r="F309" i="14"/>
  <c r="F261" i="14"/>
  <c r="F208" i="14"/>
  <c r="F168" i="14"/>
  <c r="F125" i="14"/>
  <c r="F77" i="14"/>
  <c r="F40" i="14"/>
  <c r="F822" i="14"/>
  <c r="F767" i="14"/>
  <c r="F725" i="14"/>
  <c r="F678" i="14"/>
  <c r="F626" i="14"/>
  <c r="F586" i="14"/>
  <c r="F538" i="14"/>
  <c r="F485" i="14"/>
  <c r="F445" i="14"/>
  <c r="F400" i="14"/>
  <c r="F348" i="14"/>
  <c r="F306" i="14"/>
  <c r="F260" i="14"/>
  <c r="F207" i="14"/>
  <c r="F167" i="14"/>
  <c r="F124" i="14"/>
  <c r="F76" i="14"/>
  <c r="F39" i="14"/>
  <c r="F820" i="14"/>
  <c r="F765" i="14"/>
  <c r="F717" i="14"/>
  <c r="F677" i="14"/>
  <c r="F625" i="14"/>
  <c r="F576" i="14"/>
  <c r="F537" i="14"/>
  <c r="F484" i="14"/>
  <c r="F437" i="14"/>
  <c r="F398" i="14"/>
  <c r="F346" i="14"/>
  <c r="F298" i="14"/>
  <c r="F258" i="14"/>
  <c r="F206" i="14"/>
  <c r="F157" i="14"/>
  <c r="F123" i="14"/>
  <c r="F75" i="14"/>
  <c r="F33" i="14"/>
  <c r="F801" i="14"/>
  <c r="F760" i="14"/>
  <c r="F716" i="14"/>
  <c r="F663" i="14"/>
  <c r="F623" i="14"/>
  <c r="F575" i="14"/>
  <c r="F522" i="14"/>
  <c r="F482" i="14"/>
  <c r="F434" i="14"/>
  <c r="F382" i="14"/>
  <c r="F341" i="14"/>
  <c r="F297" i="14"/>
  <c r="F244" i="14"/>
  <c r="F204" i="14"/>
  <c r="F156" i="14"/>
  <c r="F110" i="14"/>
  <c r="F73" i="14"/>
  <c r="F32" i="14"/>
  <c r="F800" i="14"/>
  <c r="F759" i="14"/>
  <c r="F714" i="14"/>
  <c r="F662" i="14"/>
  <c r="F621" i="14"/>
  <c r="F574" i="14"/>
  <c r="F521" i="14"/>
  <c r="F481" i="14"/>
  <c r="F433" i="14"/>
  <c r="F381" i="14"/>
  <c r="F340" i="14"/>
  <c r="F296" i="14"/>
  <c r="F243" i="14"/>
  <c r="F202" i="14"/>
  <c r="F155" i="14"/>
  <c r="F107" i="14"/>
  <c r="F72" i="14"/>
  <c r="F28" i="14"/>
  <c r="F842" i="14"/>
  <c r="F647" i="14"/>
  <c r="F468" i="14"/>
  <c r="F275" i="14"/>
  <c r="F94" i="14"/>
  <c r="F840" i="14"/>
  <c r="F644" i="14"/>
  <c r="F454" i="14"/>
  <c r="F273" i="14"/>
  <c r="F93" i="14"/>
  <c r="F827" i="14"/>
  <c r="F641" i="14"/>
  <c r="F450" i="14"/>
  <c r="F262" i="14"/>
  <c r="F90" i="14"/>
  <c r="F785" i="14"/>
  <c r="F608" i="14"/>
  <c r="F416" i="14"/>
  <c r="F228" i="14"/>
  <c r="F60" i="14"/>
  <c r="F784" i="14"/>
  <c r="F591" i="14"/>
  <c r="F413" i="14"/>
  <c r="F225" i="14"/>
  <c r="F47" i="14"/>
  <c r="F782" i="14"/>
  <c r="F589" i="14"/>
  <c r="F402" i="14"/>
  <c r="F222" i="14"/>
  <c r="F45" i="14"/>
  <c r="F732" i="14"/>
  <c r="F551" i="14"/>
  <c r="F365" i="14"/>
  <c r="F172" i="14"/>
  <c r="F10" i="14"/>
  <c r="F730" i="14"/>
  <c r="F542" i="14"/>
  <c r="F363" i="14"/>
  <c r="F170" i="14"/>
  <c r="F694" i="14"/>
  <c r="F507" i="14"/>
  <c r="F327" i="14"/>
  <c r="F138" i="14"/>
  <c r="F692" i="14"/>
  <c r="F506" i="14"/>
  <c r="F313" i="14"/>
  <c r="F136" i="14"/>
  <c r="F681" i="14"/>
  <c r="F503" i="14"/>
  <c r="F311" i="14"/>
  <c r="F126" i="14"/>
  <c r="F12" i="14"/>
  <c r="F555" i="14"/>
  <c r="F366" i="14"/>
  <c r="F189" i="14"/>
  <c r="F746" i="14"/>
  <c r="I4" i="14" l="1" a="1"/>
  <c r="J3" i="14"/>
  <c r="K4" i="14" a="1"/>
  <c r="L3" i="14"/>
  <c r="M4" i="14" a="1"/>
  <c r="N3" i="14"/>
  <c r="G4" i="14" a="1"/>
  <c r="H3" i="14"/>
  <c r="F3" i="14"/>
  <c r="E4" i="14" a="1"/>
  <c r="E836" i="14" l="1"/>
  <c r="E824" i="14"/>
  <c r="E812" i="14"/>
  <c r="E800" i="14"/>
  <c r="E788" i="14"/>
  <c r="E776" i="14"/>
  <c r="E764" i="14"/>
  <c r="E752" i="14"/>
  <c r="E740" i="14"/>
  <c r="E728" i="14"/>
  <c r="E716" i="14"/>
  <c r="E704" i="14"/>
  <c r="E692" i="14"/>
  <c r="E680" i="14"/>
  <c r="E668" i="14"/>
  <c r="E656" i="14"/>
  <c r="E644" i="14"/>
  <c r="E632" i="14"/>
  <c r="E620" i="14"/>
  <c r="E608" i="14"/>
  <c r="E596" i="14"/>
  <c r="E584" i="14"/>
  <c r="E572" i="14"/>
  <c r="E560" i="14"/>
  <c r="E548" i="14"/>
  <c r="E536" i="14"/>
  <c r="E524" i="14"/>
  <c r="E512" i="14"/>
  <c r="E500" i="14"/>
  <c r="E488" i="14"/>
  <c r="E476" i="14"/>
  <c r="E464" i="14"/>
  <c r="E452" i="14"/>
  <c r="E440" i="14"/>
  <c r="E428" i="14"/>
  <c r="E416" i="14"/>
  <c r="E404" i="14"/>
  <c r="E392" i="14"/>
  <c r="E380" i="14"/>
  <c r="E368" i="14"/>
  <c r="E356" i="14"/>
  <c r="E344" i="14"/>
  <c r="E332" i="14"/>
  <c r="E320" i="14"/>
  <c r="E308" i="14"/>
  <c r="E296" i="14"/>
  <c r="E284" i="14"/>
  <c r="E272" i="14"/>
  <c r="E260" i="14"/>
  <c r="E248" i="14"/>
  <c r="E236" i="14"/>
  <c r="E224" i="14"/>
  <c r="E212" i="14"/>
  <c r="E200" i="14"/>
  <c r="E188" i="14"/>
  <c r="E176" i="14"/>
  <c r="E164" i="14"/>
  <c r="E152" i="14"/>
  <c r="E140" i="14"/>
  <c r="E128" i="14"/>
  <c r="E116" i="14"/>
  <c r="E104" i="14"/>
  <c r="E92" i="14"/>
  <c r="E80" i="14"/>
  <c r="E68" i="14"/>
  <c r="E56" i="14"/>
  <c r="E44" i="14"/>
  <c r="E32" i="14"/>
  <c r="E20" i="14"/>
  <c r="E8" i="14"/>
  <c r="E831" i="14"/>
  <c r="E818" i="14"/>
  <c r="E805" i="14"/>
  <c r="E792" i="14"/>
  <c r="E779" i="14"/>
  <c r="E766" i="14"/>
  <c r="E753" i="14"/>
  <c r="E739" i="14"/>
  <c r="E726" i="14"/>
  <c r="E713" i="14"/>
  <c r="E700" i="14"/>
  <c r="E687" i="14"/>
  <c r="E674" i="14"/>
  <c r="E661" i="14"/>
  <c r="E648" i="14"/>
  <c r="E635" i="14"/>
  <c r="E622" i="14"/>
  <c r="E609" i="14"/>
  <c r="E595" i="14"/>
  <c r="E582" i="14"/>
  <c r="E569" i="14"/>
  <c r="E556" i="14"/>
  <c r="E543" i="14"/>
  <c r="E530" i="14"/>
  <c r="E517" i="14"/>
  <c r="E504" i="14"/>
  <c r="E491" i="14"/>
  <c r="E478" i="14"/>
  <c r="E465" i="14"/>
  <c r="E451" i="14"/>
  <c r="E438" i="14"/>
  <c r="E425" i="14"/>
  <c r="E412" i="14"/>
  <c r="E399" i="14"/>
  <c r="E386" i="14"/>
  <c r="E373" i="14"/>
  <c r="E360" i="14"/>
  <c r="E347" i="14"/>
  <c r="E334" i="14"/>
  <c r="E321" i="14"/>
  <c r="E307" i="14"/>
  <c r="E294" i="14"/>
  <c r="E281" i="14"/>
  <c r="E268" i="14"/>
  <c r="E255" i="14"/>
  <c r="E242" i="14"/>
  <c r="E229" i="14"/>
  <c r="E216" i="14"/>
  <c r="E203" i="14"/>
  <c r="E190" i="14"/>
  <c r="E177" i="14"/>
  <c r="E163" i="14"/>
  <c r="E150" i="14"/>
  <c r="E137" i="14"/>
  <c r="E124" i="14"/>
  <c r="E111" i="14"/>
  <c r="E98" i="14"/>
  <c r="E85" i="14"/>
  <c r="E72" i="14"/>
  <c r="E59" i="14"/>
  <c r="E46" i="14"/>
  <c r="E33" i="14"/>
  <c r="E19" i="14"/>
  <c r="E6" i="14"/>
  <c r="E842" i="14"/>
  <c r="E828" i="14"/>
  <c r="E814" i="14"/>
  <c r="E799" i="14"/>
  <c r="E785" i="14"/>
  <c r="E771" i="14"/>
  <c r="E757" i="14"/>
  <c r="E743" i="14"/>
  <c r="E729" i="14"/>
  <c r="E714" i="14"/>
  <c r="E699" i="14"/>
  <c r="E685" i="14"/>
  <c r="E671" i="14"/>
  <c r="E657" i="14"/>
  <c r="E642" i="14"/>
  <c r="E628" i="14"/>
  <c r="E614" i="14"/>
  <c r="E600" i="14"/>
  <c r="E586" i="14"/>
  <c r="E571" i="14"/>
  <c r="E557" i="14"/>
  <c r="E542" i="14"/>
  <c r="E528" i="14"/>
  <c r="E514" i="14"/>
  <c r="E499" i="14"/>
  <c r="E485" i="14"/>
  <c r="E471" i="14"/>
  <c r="E457" i="14"/>
  <c r="E837" i="14"/>
  <c r="E822" i="14"/>
  <c r="E808" i="14"/>
  <c r="E794" i="14"/>
  <c r="E780" i="14"/>
  <c r="E765" i="14"/>
  <c r="E750" i="14"/>
  <c r="E736" i="14"/>
  <c r="E722" i="14"/>
  <c r="E708" i="14"/>
  <c r="E694" i="14"/>
  <c r="E679" i="14"/>
  <c r="E665" i="14"/>
  <c r="E651" i="14"/>
  <c r="E637" i="14"/>
  <c r="E623" i="14"/>
  <c r="E607" i="14"/>
  <c r="E593" i="14"/>
  <c r="E579" i="14"/>
  <c r="E565" i="14"/>
  <c r="E551" i="14"/>
  <c r="E537" i="14"/>
  <c r="E522" i="14"/>
  <c r="E508" i="14"/>
  <c r="E494" i="14"/>
  <c r="E480" i="14"/>
  <c r="E466" i="14"/>
  <c r="E450" i="14"/>
  <c r="E833" i="14"/>
  <c r="E819" i="14"/>
  <c r="E804" i="14"/>
  <c r="E790" i="14"/>
  <c r="E775" i="14"/>
  <c r="E761" i="14"/>
  <c r="E747" i="14"/>
  <c r="E733" i="14"/>
  <c r="E719" i="14"/>
  <c r="E705" i="14"/>
  <c r="E690" i="14"/>
  <c r="E832" i="14"/>
  <c r="E817" i="14"/>
  <c r="E803" i="14"/>
  <c r="E789" i="14"/>
  <c r="E774" i="14"/>
  <c r="E760" i="14"/>
  <c r="E746" i="14"/>
  <c r="E732" i="14"/>
  <c r="E718" i="14"/>
  <c r="E703" i="14"/>
  <c r="E689" i="14"/>
  <c r="E675" i="14"/>
  <c r="E660" i="14"/>
  <c r="E646" i="14"/>
  <c r="E631" i="14"/>
  <c r="E617" i="14"/>
  <c r="E603" i="14"/>
  <c r="E589" i="14"/>
  <c r="E575" i="14"/>
  <c r="E561" i="14"/>
  <c r="E546" i="14"/>
  <c r="E532" i="14"/>
  <c r="E518" i="14"/>
  <c r="E503" i="14"/>
  <c r="E489" i="14"/>
  <c r="E474" i="14"/>
  <c r="E460" i="14"/>
  <c r="E446" i="14"/>
  <c r="E432" i="14"/>
  <c r="E418" i="14"/>
  <c r="E403" i="14"/>
  <c r="E389" i="14"/>
  <c r="E375" i="14"/>
  <c r="E361" i="14"/>
  <c r="E346" i="14"/>
  <c r="E331" i="14"/>
  <c r="E317" i="14"/>
  <c r="E303" i="14"/>
  <c r="E289" i="14"/>
  <c r="E275" i="14"/>
  <c r="E261" i="14"/>
  <c r="E246" i="14"/>
  <c r="E232" i="14"/>
  <c r="E218" i="14"/>
  <c r="E204" i="14"/>
  <c r="E189" i="14"/>
  <c r="E174" i="14"/>
  <c r="E160" i="14"/>
  <c r="E146" i="14"/>
  <c r="E132" i="14"/>
  <c r="E118" i="14"/>
  <c r="E103" i="14"/>
  <c r="E89" i="14"/>
  <c r="E75" i="14"/>
  <c r="E61" i="14"/>
  <c r="E47" i="14"/>
  <c r="E31" i="14"/>
  <c r="E17" i="14"/>
  <c r="E4" i="14"/>
  <c r="E830" i="14"/>
  <c r="E816" i="14"/>
  <c r="E802" i="14"/>
  <c r="E787" i="14"/>
  <c r="E773" i="14"/>
  <c r="E759" i="14"/>
  <c r="E745" i="14"/>
  <c r="E731" i="14"/>
  <c r="E717" i="14"/>
  <c r="E702" i="14"/>
  <c r="E688" i="14"/>
  <c r="E673" i="14"/>
  <c r="E659" i="14"/>
  <c r="E645" i="14"/>
  <c r="E630" i="14"/>
  <c r="E616" i="14"/>
  <c r="E602" i="14"/>
  <c r="E588" i="14"/>
  <c r="E574" i="14"/>
  <c r="E559" i="14"/>
  <c r="E545" i="14"/>
  <c r="E531" i="14"/>
  <c r="E516" i="14"/>
  <c r="E502" i="14"/>
  <c r="E487" i="14"/>
  <c r="E473" i="14"/>
  <c r="E459" i="14"/>
  <c r="E445" i="14"/>
  <c r="E431" i="14"/>
  <c r="E417" i="14"/>
  <c r="E402" i="14"/>
  <c r="E388" i="14"/>
  <c r="E374" i="14"/>
  <c r="E359" i="14"/>
  <c r="E345" i="14"/>
  <c r="E330" i="14"/>
  <c r="E316" i="14"/>
  <c r="E302" i="14"/>
  <c r="E288" i="14"/>
  <c r="E274" i="14"/>
  <c r="E259" i="14"/>
  <c r="E245" i="14"/>
  <c r="E231" i="14"/>
  <c r="E217" i="14"/>
  <c r="E202" i="14"/>
  <c r="E187" i="14"/>
  <c r="E173" i="14"/>
  <c r="E159" i="14"/>
  <c r="E145" i="14"/>
  <c r="E131" i="14"/>
  <c r="E117" i="14"/>
  <c r="E102" i="14"/>
  <c r="E88" i="14"/>
  <c r="E74" i="14"/>
  <c r="E60" i="14"/>
  <c r="E45" i="14"/>
  <c r="E30" i="14"/>
  <c r="E16" i="14"/>
  <c r="E843" i="14"/>
  <c r="E829" i="14"/>
  <c r="E815" i="14"/>
  <c r="E801" i="14"/>
  <c r="E786" i="14"/>
  <c r="E772" i="14"/>
  <c r="E758" i="14"/>
  <c r="E744" i="14"/>
  <c r="E730" i="14"/>
  <c r="E715" i="14"/>
  <c r="E701" i="14"/>
  <c r="E686" i="14"/>
  <c r="E672" i="14"/>
  <c r="E658" i="14"/>
  <c r="E643" i="14"/>
  <c r="E629" i="14"/>
  <c r="E615" i="14"/>
  <c r="E601" i="14"/>
  <c r="E587" i="14"/>
  <c r="E573" i="14"/>
  <c r="E558" i="14"/>
  <c r="E544" i="14"/>
  <c r="E529" i="14"/>
  <c r="E515" i="14"/>
  <c r="E501" i="14"/>
  <c r="E486" i="14"/>
  <c r="E472" i="14"/>
  <c r="E458" i="14"/>
  <c r="E444" i="14"/>
  <c r="E430" i="14"/>
  <c r="E415" i="14"/>
  <c r="E401" i="14"/>
  <c r="E387" i="14"/>
  <c r="E372" i="14"/>
  <c r="E358" i="14"/>
  <c r="E343" i="14"/>
  <c r="E329" i="14"/>
  <c r="E315" i="14"/>
  <c r="E301" i="14"/>
  <c r="E287" i="14"/>
  <c r="E273" i="14"/>
  <c r="E258" i="14"/>
  <c r="E244" i="14"/>
  <c r="E230" i="14"/>
  <c r="E215" i="14"/>
  <c r="E201" i="14"/>
  <c r="E186" i="14"/>
  <c r="E172" i="14"/>
  <c r="E158" i="14"/>
  <c r="E144" i="14"/>
  <c r="E130" i="14"/>
  <c r="E115" i="14"/>
  <c r="E101" i="14"/>
  <c r="E87" i="14"/>
  <c r="E73" i="14"/>
  <c r="E58" i="14"/>
  <c r="E43" i="14"/>
  <c r="E29" i="14"/>
  <c r="E15" i="14"/>
  <c r="E835" i="14"/>
  <c r="E807" i="14"/>
  <c r="E778" i="14"/>
  <c r="E749" i="14"/>
  <c r="E721" i="14"/>
  <c r="E693" i="14"/>
  <c r="E666" i="14"/>
  <c r="E640" i="14"/>
  <c r="E618" i="14"/>
  <c r="E592" i="14"/>
  <c r="E567" i="14"/>
  <c r="E541" i="14"/>
  <c r="E520" i="14"/>
  <c r="E495" i="14"/>
  <c r="E469" i="14"/>
  <c r="E834" i="14"/>
  <c r="E806" i="14"/>
  <c r="E777" i="14"/>
  <c r="E748" i="14"/>
  <c r="E720" i="14"/>
  <c r="E691" i="14"/>
  <c r="E664" i="14"/>
  <c r="E639" i="14"/>
  <c r="E613" i="14"/>
  <c r="E591" i="14"/>
  <c r="E566" i="14"/>
  <c r="E540" i="14"/>
  <c r="E519" i="14"/>
  <c r="E493" i="14"/>
  <c r="E468" i="14"/>
  <c r="E443" i="14"/>
  <c r="E424" i="14"/>
  <c r="E407" i="14"/>
  <c r="E385" i="14"/>
  <c r="E367" i="14"/>
  <c r="E350" i="14"/>
  <c r="E328" i="14"/>
  <c r="E311" i="14"/>
  <c r="E292" i="14"/>
  <c r="E271" i="14"/>
  <c r="E253" i="14"/>
  <c r="E235" i="14"/>
  <c r="E214" i="14"/>
  <c r="E196" i="14"/>
  <c r="E179" i="14"/>
  <c r="E157" i="14"/>
  <c r="E139" i="14"/>
  <c r="E121" i="14"/>
  <c r="E100" i="14"/>
  <c r="E82" i="14"/>
  <c r="E64" i="14"/>
  <c r="E42" i="14"/>
  <c r="E25" i="14"/>
  <c r="E7" i="14"/>
  <c r="E827" i="14"/>
  <c r="E798" i="14"/>
  <c r="E770" i="14"/>
  <c r="E742" i="14"/>
  <c r="E712" i="14"/>
  <c r="E684" i="14"/>
  <c r="E663" i="14"/>
  <c r="E638" i="14"/>
  <c r="E612" i="14"/>
  <c r="E590" i="14"/>
  <c r="E564" i="14"/>
  <c r="E539" i="14"/>
  <c r="E513" i="14"/>
  <c r="E492" i="14"/>
  <c r="E467" i="14"/>
  <c r="E442" i="14"/>
  <c r="E823" i="14"/>
  <c r="E784" i="14"/>
  <c r="E751" i="14"/>
  <c r="E709" i="14"/>
  <c r="E676" i="14"/>
  <c r="E641" i="14"/>
  <c r="E606" i="14"/>
  <c r="E577" i="14"/>
  <c r="E547" i="14"/>
  <c r="E509" i="14"/>
  <c r="E479" i="14"/>
  <c r="E448" i="14"/>
  <c r="E423" i="14"/>
  <c r="E405" i="14"/>
  <c r="E382" i="14"/>
  <c r="E363" i="14"/>
  <c r="E340" i="14"/>
  <c r="E322" i="14"/>
  <c r="E299" i="14"/>
  <c r="E279" i="14"/>
  <c r="E257" i="14"/>
  <c r="E238" i="14"/>
  <c r="E219" i="14"/>
  <c r="E195" i="14"/>
  <c r="E175" i="14"/>
  <c r="E154" i="14"/>
  <c r="E134" i="14"/>
  <c r="E112" i="14"/>
  <c r="E93" i="14"/>
  <c r="E70" i="14"/>
  <c r="E51" i="14"/>
  <c r="E28" i="14"/>
  <c r="E10" i="14"/>
  <c r="E821" i="14"/>
  <c r="E783" i="14"/>
  <c r="E741" i="14"/>
  <c r="E707" i="14"/>
  <c r="E670" i="14"/>
  <c r="E636" i="14"/>
  <c r="E605" i="14"/>
  <c r="E576" i="14"/>
  <c r="E538" i="14"/>
  <c r="E507" i="14"/>
  <c r="E477" i="14"/>
  <c r="E447" i="14"/>
  <c r="E422" i="14"/>
  <c r="E400" i="14"/>
  <c r="E381" i="14"/>
  <c r="E362" i="14"/>
  <c r="E339" i="14"/>
  <c r="E319" i="14"/>
  <c r="E298" i="14"/>
  <c r="E278" i="14"/>
  <c r="E256" i="14"/>
  <c r="E237" i="14"/>
  <c r="E213" i="14"/>
  <c r="E194" i="14"/>
  <c r="E171" i="14"/>
  <c r="E153" i="14"/>
  <c r="E133" i="14"/>
  <c r="E110" i="14"/>
  <c r="E91" i="14"/>
  <c r="E69" i="14"/>
  <c r="E50" i="14"/>
  <c r="E27" i="14"/>
  <c r="E9" i="14"/>
  <c r="E820" i="14"/>
  <c r="E782" i="14"/>
  <c r="E738" i="14"/>
  <c r="E706" i="14"/>
  <c r="E669" i="14"/>
  <c r="E634" i="14"/>
  <c r="E604" i="14"/>
  <c r="E570" i="14"/>
  <c r="E535" i="14"/>
  <c r="E506" i="14"/>
  <c r="E475" i="14"/>
  <c r="E441" i="14"/>
  <c r="E421" i="14"/>
  <c r="E398" i="14"/>
  <c r="E379" i="14"/>
  <c r="E357" i="14"/>
  <c r="E338" i="14"/>
  <c r="E318" i="14"/>
  <c r="E297" i="14"/>
  <c r="E277" i="14"/>
  <c r="E254" i="14"/>
  <c r="E234" i="14"/>
  <c r="E211" i="14"/>
  <c r="E193" i="14"/>
  <c r="E170" i="14"/>
  <c r="E151" i="14"/>
  <c r="E129" i="14"/>
  <c r="E109" i="14"/>
  <c r="E90" i="14"/>
  <c r="E67" i="14"/>
  <c r="E49" i="14"/>
  <c r="E26" i="14"/>
  <c r="E5" i="14"/>
  <c r="E810" i="14"/>
  <c r="E768" i="14"/>
  <c r="E734" i="14"/>
  <c r="E696" i="14"/>
  <c r="E655" i="14"/>
  <c r="E626" i="14"/>
  <c r="E597" i="14"/>
  <c r="E562" i="14"/>
  <c r="E527" i="14"/>
  <c r="E497" i="14"/>
  <c r="E462" i="14"/>
  <c r="E436" i="14"/>
  <c r="E414" i="14"/>
  <c r="E395" i="14"/>
  <c r="E376" i="14"/>
  <c r="E353" i="14"/>
  <c r="E335" i="14"/>
  <c r="E312" i="14"/>
  <c r="E291" i="14"/>
  <c r="E269" i="14"/>
  <c r="E250" i="14"/>
  <c r="E227" i="14"/>
  <c r="E208" i="14"/>
  <c r="E185" i="14"/>
  <c r="E167" i="14"/>
  <c r="E147" i="14"/>
  <c r="E125" i="14"/>
  <c r="E106" i="14"/>
  <c r="E83" i="14"/>
  <c r="E63" i="14"/>
  <c r="E40" i="14"/>
  <c r="E22" i="14"/>
  <c r="E840" i="14"/>
  <c r="E797" i="14"/>
  <c r="E763" i="14"/>
  <c r="E725" i="14"/>
  <c r="E683" i="14"/>
  <c r="E653" i="14"/>
  <c r="E624" i="14"/>
  <c r="E585" i="14"/>
  <c r="E554" i="14"/>
  <c r="E525" i="14"/>
  <c r="E490" i="14"/>
  <c r="E456" i="14"/>
  <c r="E434" i="14"/>
  <c r="E411" i="14"/>
  <c r="E393" i="14"/>
  <c r="E370" i="14"/>
  <c r="E351" i="14"/>
  <c r="E327" i="14"/>
  <c r="E309" i="14"/>
  <c r="E286" i="14"/>
  <c r="E266" i="14"/>
  <c r="E839" i="14"/>
  <c r="E796" i="14"/>
  <c r="E762" i="14"/>
  <c r="E724" i="14"/>
  <c r="E682" i="14"/>
  <c r="E652" i="14"/>
  <c r="E621" i="14"/>
  <c r="E583" i="14"/>
  <c r="E553" i="14"/>
  <c r="E523" i="14"/>
  <c r="E484" i="14"/>
  <c r="E455" i="14"/>
  <c r="E433" i="14"/>
  <c r="E410" i="14"/>
  <c r="E391" i="14"/>
  <c r="E369" i="14"/>
  <c r="E349" i="14"/>
  <c r="E326" i="14"/>
  <c r="E306" i="14"/>
  <c r="E285" i="14"/>
  <c r="E265" i="14"/>
  <c r="E243" i="14"/>
  <c r="E223" i="14"/>
  <c r="E205" i="14"/>
  <c r="E182" i="14"/>
  <c r="E162" i="14"/>
  <c r="E141" i="14"/>
  <c r="E120" i="14"/>
  <c r="E97" i="14"/>
  <c r="E78" i="14"/>
  <c r="E55" i="14"/>
  <c r="E37" i="14"/>
  <c r="E14" i="14"/>
  <c r="E838" i="14"/>
  <c r="E795" i="14"/>
  <c r="E756" i="14"/>
  <c r="E723" i="14"/>
  <c r="E681" i="14"/>
  <c r="E650" i="14"/>
  <c r="E619" i="14"/>
  <c r="E581" i="14"/>
  <c r="E552" i="14"/>
  <c r="E521" i="14"/>
  <c r="E483" i="14"/>
  <c r="E454" i="14"/>
  <c r="E429" i="14"/>
  <c r="E409" i="14"/>
  <c r="E390" i="14"/>
  <c r="E366" i="14"/>
  <c r="E348" i="14"/>
  <c r="E325" i="14"/>
  <c r="E305" i="14"/>
  <c r="E283" i="14"/>
  <c r="E264" i="14"/>
  <c r="E241" i="14"/>
  <c r="E222" i="14"/>
  <c r="E199" i="14"/>
  <c r="E181" i="14"/>
  <c r="E161" i="14"/>
  <c r="E138" i="14"/>
  <c r="E119" i="14"/>
  <c r="E96" i="14"/>
  <c r="E77" i="14"/>
  <c r="E54" i="14"/>
  <c r="E36" i="14"/>
  <c r="E13" i="14"/>
  <c r="E826" i="14"/>
  <c r="E793" i="14"/>
  <c r="E755" i="14"/>
  <c r="E711" i="14"/>
  <c r="E678" i="14"/>
  <c r="E649" i="14"/>
  <c r="E611" i="14"/>
  <c r="E580" i="14"/>
  <c r="E550" i="14"/>
  <c r="E511" i="14"/>
  <c r="E482" i="14"/>
  <c r="E453" i="14"/>
  <c r="E427" i="14"/>
  <c r="E408" i="14"/>
  <c r="E384" i="14"/>
  <c r="E365" i="14"/>
  <c r="E342" i="14"/>
  <c r="E324" i="14"/>
  <c r="E304" i="14"/>
  <c r="E282" i="14"/>
  <c r="E263" i="14"/>
  <c r="E240" i="14"/>
  <c r="E221" i="14"/>
  <c r="E198" i="14"/>
  <c r="E180" i="14"/>
  <c r="E156" i="14"/>
  <c r="E136" i="14"/>
  <c r="E114" i="14"/>
  <c r="E95" i="14"/>
  <c r="E76" i="14"/>
  <c r="E53" i="14"/>
  <c r="E35" i="14"/>
  <c r="E12" i="14"/>
  <c r="E825" i="14"/>
  <c r="E791" i="14"/>
  <c r="E754" i="14"/>
  <c r="E710" i="14"/>
  <c r="E677" i="14"/>
  <c r="E647" i="14"/>
  <c r="E610" i="14"/>
  <c r="E578" i="14"/>
  <c r="E549" i="14"/>
  <c r="E510" i="14"/>
  <c r="E481" i="14"/>
  <c r="E449" i="14"/>
  <c r="E426" i="14"/>
  <c r="E406" i="14"/>
  <c r="E383" i="14"/>
  <c r="E364" i="14"/>
  <c r="E341" i="14"/>
  <c r="E323" i="14"/>
  <c r="E300" i="14"/>
  <c r="E280" i="14"/>
  <c r="E262" i="14"/>
  <c r="E239" i="14"/>
  <c r="E220" i="14"/>
  <c r="E197" i="14"/>
  <c r="E178" i="14"/>
  <c r="E155" i="14"/>
  <c r="E135" i="14"/>
  <c r="E113" i="14"/>
  <c r="E94" i="14"/>
  <c r="E71" i="14"/>
  <c r="E52" i="14"/>
  <c r="E34" i="14"/>
  <c r="E11" i="14"/>
  <c r="E781" i="14"/>
  <c r="E633" i="14"/>
  <c r="E505" i="14"/>
  <c r="E397" i="14"/>
  <c r="E314" i="14"/>
  <c r="E247" i="14"/>
  <c r="E183" i="14"/>
  <c r="E122" i="14"/>
  <c r="E57" i="14"/>
  <c r="E769" i="14"/>
  <c r="E627" i="14"/>
  <c r="E498" i="14"/>
  <c r="E396" i="14"/>
  <c r="E313" i="14"/>
  <c r="E233" i="14"/>
  <c r="E169" i="14"/>
  <c r="E108" i="14"/>
  <c r="E48" i="14"/>
  <c r="E767" i="14"/>
  <c r="E625" i="14"/>
  <c r="E496" i="14"/>
  <c r="E394" i="14"/>
  <c r="E310" i="14"/>
  <c r="E228" i="14"/>
  <c r="E168" i="14"/>
  <c r="E107" i="14"/>
  <c r="E41" i="14"/>
  <c r="E737" i="14"/>
  <c r="E599" i="14"/>
  <c r="E470" i="14"/>
  <c r="E378" i="14"/>
  <c r="E295" i="14"/>
  <c r="E226" i="14"/>
  <c r="E166" i="14"/>
  <c r="E105" i="14"/>
  <c r="E39" i="14"/>
  <c r="E735" i="14"/>
  <c r="E598" i="14"/>
  <c r="E463" i="14"/>
  <c r="E377" i="14"/>
  <c r="E293" i="14"/>
  <c r="E225" i="14"/>
  <c r="E165" i="14"/>
  <c r="E99" i="14"/>
  <c r="E38" i="14"/>
  <c r="E727" i="14"/>
  <c r="E594" i="14"/>
  <c r="E461" i="14"/>
  <c r="E371" i="14"/>
  <c r="E290" i="14"/>
  <c r="E210" i="14"/>
  <c r="E149" i="14"/>
  <c r="E86" i="14"/>
  <c r="E24" i="14"/>
  <c r="E697" i="14"/>
  <c r="E563" i="14"/>
  <c r="E437" i="14"/>
  <c r="E354" i="14"/>
  <c r="E270" i="14"/>
  <c r="E207" i="14"/>
  <c r="E143" i="14"/>
  <c r="E81" i="14"/>
  <c r="E21" i="14"/>
  <c r="E841" i="14"/>
  <c r="E695" i="14"/>
  <c r="E555" i="14"/>
  <c r="E435" i="14"/>
  <c r="E352" i="14"/>
  <c r="E267" i="14"/>
  <c r="E206" i="14"/>
  <c r="E142" i="14"/>
  <c r="E79" i="14"/>
  <c r="E18" i="14"/>
  <c r="E813" i="14"/>
  <c r="E667" i="14"/>
  <c r="E534" i="14"/>
  <c r="E420" i="14"/>
  <c r="E337" i="14"/>
  <c r="E252" i="14"/>
  <c r="E192" i="14"/>
  <c r="E127" i="14"/>
  <c r="E66" i="14"/>
  <c r="E811" i="14"/>
  <c r="E662" i="14"/>
  <c r="E533" i="14"/>
  <c r="E419" i="14"/>
  <c r="E336" i="14"/>
  <c r="E251" i="14"/>
  <c r="E191" i="14"/>
  <c r="E126" i="14"/>
  <c r="E65" i="14"/>
  <c r="E809" i="14"/>
  <c r="E654" i="14"/>
  <c r="E526" i="14"/>
  <c r="E413" i="14"/>
  <c r="E333" i="14"/>
  <c r="E249" i="14"/>
  <c r="E184" i="14"/>
  <c r="E123" i="14"/>
  <c r="E62" i="14"/>
  <c r="E698" i="14"/>
  <c r="E568" i="14"/>
  <c r="E209" i="14"/>
  <c r="E148" i="14"/>
  <c r="E23" i="14"/>
  <c r="E439" i="14"/>
  <c r="E355" i="14"/>
  <c r="E84" i="14"/>
  <c r="E276" i="14"/>
  <c r="G834" i="14"/>
  <c r="G822" i="14"/>
  <c r="G810" i="14"/>
  <c r="G798" i="14"/>
  <c r="G786" i="14"/>
  <c r="G774" i="14"/>
  <c r="G762" i="14"/>
  <c r="G750" i="14"/>
  <c r="G738" i="14"/>
  <c r="G726" i="14"/>
  <c r="G714" i="14"/>
  <c r="G702" i="14"/>
  <c r="G690" i="14"/>
  <c r="G678" i="14"/>
  <c r="G666" i="14"/>
  <c r="G654" i="14"/>
  <c r="G642" i="14"/>
  <c r="G630" i="14"/>
  <c r="G618" i="14"/>
  <c r="G606" i="14"/>
  <c r="G594" i="14"/>
  <c r="G582" i="14"/>
  <c r="G570" i="14"/>
  <c r="G558" i="14"/>
  <c r="G546" i="14"/>
  <c r="G534" i="14"/>
  <c r="G522" i="14"/>
  <c r="G510" i="14"/>
  <c r="G498" i="14"/>
  <c r="G486" i="14"/>
  <c r="G474" i="14"/>
  <c r="G462" i="14"/>
  <c r="G450" i="14"/>
  <c r="G438" i="14"/>
  <c r="G426" i="14"/>
  <c r="G414" i="14"/>
  <c r="G402" i="14"/>
  <c r="G390" i="14"/>
  <c r="G378" i="14"/>
  <c r="G366" i="14"/>
  <c r="G354" i="14"/>
  <c r="G342" i="14"/>
  <c r="G330" i="14"/>
  <c r="G318" i="14"/>
  <c r="G306" i="14"/>
  <c r="G294" i="14"/>
  <c r="G282" i="14"/>
  <c r="G270" i="14"/>
  <c r="G258" i="14"/>
  <c r="G246" i="14"/>
  <c r="G234" i="14"/>
  <c r="G222" i="14"/>
  <c r="G210" i="14"/>
  <c r="G198" i="14"/>
  <c r="G186" i="14"/>
  <c r="G174" i="14"/>
  <c r="G162" i="14"/>
  <c r="G150" i="14"/>
  <c r="G138" i="14"/>
  <c r="G126" i="14"/>
  <c r="G114" i="14"/>
  <c r="G102" i="14"/>
  <c r="G90" i="14"/>
  <c r="G78" i="14"/>
  <c r="G66" i="14"/>
  <c r="G54" i="14"/>
  <c r="G42" i="14"/>
  <c r="G30" i="14"/>
  <c r="G18" i="14"/>
  <c r="G6" i="14"/>
  <c r="G837" i="14"/>
  <c r="G825" i="14"/>
  <c r="G813" i="14"/>
  <c r="G801" i="14"/>
  <c r="G789" i="14"/>
  <c r="G777" i="14"/>
  <c r="G765" i="14"/>
  <c r="G753" i="14"/>
  <c r="G741" i="14"/>
  <c r="G729" i="14"/>
  <c r="G717" i="14"/>
  <c r="G705" i="14"/>
  <c r="G693" i="14"/>
  <c r="G681" i="14"/>
  <c r="G669" i="14"/>
  <c r="G657" i="14"/>
  <c r="G645" i="14"/>
  <c r="G633" i="14"/>
  <c r="G621" i="14"/>
  <c r="G609" i="14"/>
  <c r="G597" i="14"/>
  <c r="G585" i="14"/>
  <c r="G573" i="14"/>
  <c r="G561" i="14"/>
  <c r="G549" i="14"/>
  <c r="G537" i="14"/>
  <c r="G525" i="14"/>
  <c r="G513" i="14"/>
  <c r="G501" i="14"/>
  <c r="G489" i="14"/>
  <c r="G477" i="14"/>
  <c r="G465" i="14"/>
  <c r="G453" i="14"/>
  <c r="G441" i="14"/>
  <c r="G429" i="14"/>
  <c r="G417" i="14"/>
  <c r="G405" i="14"/>
  <c r="G393" i="14"/>
  <c r="G381" i="14"/>
  <c r="G369" i="14"/>
  <c r="G357" i="14"/>
  <c r="G345" i="14"/>
  <c r="G333" i="14"/>
  <c r="G321" i="14"/>
  <c r="G309" i="14"/>
  <c r="G297" i="14"/>
  <c r="G285" i="14"/>
  <c r="G273" i="14"/>
  <c r="G261" i="14"/>
  <c r="G249" i="14"/>
  <c r="G237" i="14"/>
  <c r="G225" i="14"/>
  <c r="G213" i="14"/>
  <c r="G201" i="14"/>
  <c r="G189" i="14"/>
  <c r="G177" i="14"/>
  <c r="G165" i="14"/>
  <c r="G153" i="14"/>
  <c r="G141" i="14"/>
  <c r="G129" i="14"/>
  <c r="G117" i="14"/>
  <c r="G105" i="14"/>
  <c r="G93" i="14"/>
  <c r="G81" i="14"/>
  <c r="G69" i="14"/>
  <c r="G57" i="14"/>
  <c r="G45" i="14"/>
  <c r="G33" i="14"/>
  <c r="G21" i="14"/>
  <c r="G9" i="14"/>
  <c r="G835" i="14"/>
  <c r="G823" i="14"/>
  <c r="G811" i="14"/>
  <c r="G799" i="14"/>
  <c r="G787" i="14"/>
  <c r="G775" i="14"/>
  <c r="G763" i="14"/>
  <c r="G751" i="14"/>
  <c r="G739" i="14"/>
  <c r="G727" i="14"/>
  <c r="G715" i="14"/>
  <c r="G703" i="14"/>
  <c r="G691" i="14"/>
  <c r="G679" i="14"/>
  <c r="G667" i="14"/>
  <c r="G655" i="14"/>
  <c r="G643" i="14"/>
  <c r="G631" i="14"/>
  <c r="G619" i="14"/>
  <c r="G607" i="14"/>
  <c r="G595" i="14"/>
  <c r="G583" i="14"/>
  <c r="G571" i="14"/>
  <c r="G559" i="14"/>
  <c r="G547" i="14"/>
  <c r="G535" i="14"/>
  <c r="G523" i="14"/>
  <c r="G511" i="14"/>
  <c r="G499" i="14"/>
  <c r="G487" i="14"/>
  <c r="G475" i="14"/>
  <c r="G463" i="14"/>
  <c r="G451" i="14"/>
  <c r="G439" i="14"/>
  <c r="G427" i="14"/>
  <c r="G415" i="14"/>
  <c r="G403" i="14"/>
  <c r="G391" i="14"/>
  <c r="G379" i="14"/>
  <c r="G367" i="14"/>
  <c r="G355" i="14"/>
  <c r="G343" i="14"/>
  <c r="G331" i="14"/>
  <c r="G319" i="14"/>
  <c r="G307" i="14"/>
  <c r="G295" i="14"/>
  <c r="G283" i="14"/>
  <c r="G271" i="14"/>
  <c r="G259" i="14"/>
  <c r="G247" i="14"/>
  <c r="G235" i="14"/>
  <c r="G223" i="14"/>
  <c r="G211" i="14"/>
  <c r="G199" i="14"/>
  <c r="G187" i="14"/>
  <c r="G175" i="14"/>
  <c r="G163" i="14"/>
  <c r="G151" i="14"/>
  <c r="G139" i="14"/>
  <c r="G127" i="14"/>
  <c r="G115" i="14"/>
  <c r="G103" i="14"/>
  <c r="G91" i="14"/>
  <c r="G79" i="14"/>
  <c r="G67" i="14"/>
  <c r="G55" i="14"/>
  <c r="G43" i="14"/>
  <c r="G31" i="14"/>
  <c r="G19" i="14"/>
  <c r="G7" i="14"/>
  <c r="G842" i="14"/>
  <c r="G827" i="14"/>
  <c r="G809" i="14"/>
  <c r="G794" i="14"/>
  <c r="G779" i="14"/>
  <c r="G761" i="14"/>
  <c r="G746" i="14"/>
  <c r="G731" i="14"/>
  <c r="G713" i="14"/>
  <c r="G698" i="14"/>
  <c r="G683" i="14"/>
  <c r="G665" i="14"/>
  <c r="G650" i="14"/>
  <c r="G635" i="14"/>
  <c r="G617" i="14"/>
  <c r="G602" i="14"/>
  <c r="G587" i="14"/>
  <c r="G569" i="14"/>
  <c r="G554" i="14"/>
  <c r="G539" i="14"/>
  <c r="G521" i="14"/>
  <c r="G506" i="14"/>
  <c r="G491" i="14"/>
  <c r="G473" i="14"/>
  <c r="G458" i="14"/>
  <c r="G443" i="14"/>
  <c r="G425" i="14"/>
  <c r="G410" i="14"/>
  <c r="G395" i="14"/>
  <c r="G377" i="14"/>
  <c r="G362" i="14"/>
  <c r="G347" i="14"/>
  <c r="G329" i="14"/>
  <c r="G314" i="14"/>
  <c r="G299" i="14"/>
  <c r="G281" i="14"/>
  <c r="G266" i="14"/>
  <c r="G251" i="14"/>
  <c r="G233" i="14"/>
  <c r="G218" i="14"/>
  <c r="G203" i="14"/>
  <c r="G185" i="14"/>
  <c r="G170" i="14"/>
  <c r="G155" i="14"/>
  <c r="G137" i="14"/>
  <c r="G122" i="14"/>
  <c r="G107" i="14"/>
  <c r="G89" i="14"/>
  <c r="G74" i="14"/>
  <c r="G59" i="14"/>
  <c r="G41" i="14"/>
  <c r="G26" i="14"/>
  <c r="G11" i="14"/>
  <c r="G841" i="14"/>
  <c r="G826" i="14"/>
  <c r="G808" i="14"/>
  <c r="G793" i="14"/>
  <c r="G778" i="14"/>
  <c r="G760" i="14"/>
  <c r="G745" i="14"/>
  <c r="G730" i="14"/>
  <c r="G712" i="14"/>
  <c r="G697" i="14"/>
  <c r="G682" i="14"/>
  <c r="G664" i="14"/>
  <c r="G649" i="14"/>
  <c r="G634" i="14"/>
  <c r="G616" i="14"/>
  <c r="G601" i="14"/>
  <c r="G586" i="14"/>
  <c r="G568" i="14"/>
  <c r="G553" i="14"/>
  <c r="G538" i="14"/>
  <c r="G520" i="14"/>
  <c r="G505" i="14"/>
  <c r="G490" i="14"/>
  <c r="G472" i="14"/>
  <c r="G457" i="14"/>
  <c r="G442" i="14"/>
  <c r="G424" i="14"/>
  <c r="G409" i="14"/>
  <c r="G394" i="14"/>
  <c r="G376" i="14"/>
  <c r="G361" i="14"/>
  <c r="G346" i="14"/>
  <c r="G328" i="14"/>
  <c r="G313" i="14"/>
  <c r="G298" i="14"/>
  <c r="G280" i="14"/>
  <c r="G265" i="14"/>
  <c r="G250" i="14"/>
  <c r="G232" i="14"/>
  <c r="G217" i="14"/>
  <c r="G202" i="14"/>
  <c r="G184" i="14"/>
  <c r="G169" i="14"/>
  <c r="G154" i="14"/>
  <c r="G136" i="14"/>
  <c r="G121" i="14"/>
  <c r="G106" i="14"/>
  <c r="G88" i="14"/>
  <c r="G73" i="14"/>
  <c r="G58" i="14"/>
  <c r="G40" i="14"/>
  <c r="G25" i="14"/>
  <c r="G10" i="14"/>
  <c r="G829" i="14"/>
  <c r="G814" i="14"/>
  <c r="G796" i="14"/>
  <c r="G781" i="14"/>
  <c r="G766" i="14"/>
  <c r="G748" i="14"/>
  <c r="G733" i="14"/>
  <c r="G718" i="14"/>
  <c r="G700" i="14"/>
  <c r="G685" i="14"/>
  <c r="G670" i="14"/>
  <c r="G652" i="14"/>
  <c r="G637" i="14"/>
  <c r="G622" i="14"/>
  <c r="G604" i="14"/>
  <c r="G589" i="14"/>
  <c r="G574" i="14"/>
  <c r="G556" i="14"/>
  <c r="G541" i="14"/>
  <c r="G526" i="14"/>
  <c r="G508" i="14"/>
  <c r="G493" i="14"/>
  <c r="G478" i="14"/>
  <c r="G460" i="14"/>
  <c r="G445" i="14"/>
  <c r="G430" i="14"/>
  <c r="G412" i="14"/>
  <c r="G397" i="14"/>
  <c r="G382" i="14"/>
  <c r="G364" i="14"/>
  <c r="G349" i="14"/>
  <c r="G334" i="14"/>
  <c r="G316" i="14"/>
  <c r="G301" i="14"/>
  <c r="G286" i="14"/>
  <c r="G268" i="14"/>
  <c r="G253" i="14"/>
  <c r="G238" i="14"/>
  <c r="G220" i="14"/>
  <c r="G205" i="14"/>
  <c r="G190" i="14"/>
  <c r="G172" i="14"/>
  <c r="G157" i="14"/>
  <c r="G142" i="14"/>
  <c r="G124" i="14"/>
  <c r="G109" i="14"/>
  <c r="G94" i="14"/>
  <c r="G76" i="14"/>
  <c r="G61" i="14"/>
  <c r="G46" i="14"/>
  <c r="G28" i="14"/>
  <c r="G13" i="14"/>
  <c r="G839" i="14"/>
  <c r="G818" i="14"/>
  <c r="G797" i="14"/>
  <c r="G773" i="14"/>
  <c r="G755" i="14"/>
  <c r="G734" i="14"/>
  <c r="G710" i="14"/>
  <c r="G689" i="14"/>
  <c r="G671" i="14"/>
  <c r="G647" i="14"/>
  <c r="G626" i="14"/>
  <c r="G605" i="14"/>
  <c r="G581" i="14"/>
  <c r="G563" i="14"/>
  <c r="G542" i="14"/>
  <c r="G518" i="14"/>
  <c r="G497" i="14"/>
  <c r="G479" i="14"/>
  <c r="G455" i="14"/>
  <c r="G434" i="14"/>
  <c r="G413" i="14"/>
  <c r="G389" i="14"/>
  <c r="G371" i="14"/>
  <c r="G350" i="14"/>
  <c r="G326" i="14"/>
  <c r="G305" i="14"/>
  <c r="G287" i="14"/>
  <c r="G263" i="14"/>
  <c r="G242" i="14"/>
  <c r="G221" i="14"/>
  <c r="G197" i="14"/>
  <c r="G179" i="14"/>
  <c r="G158" i="14"/>
  <c r="G134" i="14"/>
  <c r="G113" i="14"/>
  <c r="G95" i="14"/>
  <c r="G71" i="14"/>
  <c r="G50" i="14"/>
  <c r="G29" i="14"/>
  <c r="G5" i="14"/>
  <c r="G838" i="14"/>
  <c r="G817" i="14"/>
  <c r="G795" i="14"/>
  <c r="G772" i="14"/>
  <c r="G754" i="14"/>
  <c r="G732" i="14"/>
  <c r="G709" i="14"/>
  <c r="G688" i="14"/>
  <c r="G668" i="14"/>
  <c r="G646" i="14"/>
  <c r="G625" i="14"/>
  <c r="G603" i="14"/>
  <c r="G580" i="14"/>
  <c r="G562" i="14"/>
  <c r="G540" i="14"/>
  <c r="G517" i="14"/>
  <c r="G496" i="14"/>
  <c r="G476" i="14"/>
  <c r="G454" i="14"/>
  <c r="G433" i="14"/>
  <c r="G411" i="14"/>
  <c r="G388" i="14"/>
  <c r="G370" i="14"/>
  <c r="G348" i="14"/>
  <c r="G325" i="14"/>
  <c r="G304" i="14"/>
  <c r="G284" i="14"/>
  <c r="G262" i="14"/>
  <c r="G241" i="14"/>
  <c r="G219" i="14"/>
  <c r="G196" i="14"/>
  <c r="G178" i="14"/>
  <c r="G156" i="14"/>
  <c r="G133" i="14"/>
  <c r="G112" i="14"/>
  <c r="G92" i="14"/>
  <c r="G70" i="14"/>
  <c r="G49" i="14"/>
  <c r="G27" i="14"/>
  <c r="G831" i="14"/>
  <c r="G807" i="14"/>
  <c r="G788" i="14"/>
  <c r="G768" i="14"/>
  <c r="G744" i="14"/>
  <c r="G723" i="14"/>
  <c r="G704" i="14"/>
  <c r="G680" i="14"/>
  <c r="G660" i="14"/>
  <c r="G639" i="14"/>
  <c r="G615" i="14"/>
  <c r="G596" i="14"/>
  <c r="G576" i="14"/>
  <c r="G552" i="14"/>
  <c r="G531" i="14"/>
  <c r="G512" i="14"/>
  <c r="G488" i="14"/>
  <c r="G468" i="14"/>
  <c r="G447" i="14"/>
  <c r="G423" i="14"/>
  <c r="G404" i="14"/>
  <c r="G384" i="14"/>
  <c r="G360" i="14"/>
  <c r="G339" i="14"/>
  <c r="G320" i="14"/>
  <c r="G296" i="14"/>
  <c r="G276" i="14"/>
  <c r="G255" i="14"/>
  <c r="G231" i="14"/>
  <c r="G212" i="14"/>
  <c r="G192" i="14"/>
  <c r="G168" i="14"/>
  <c r="G147" i="14"/>
  <c r="G128" i="14"/>
  <c r="G104" i="14"/>
  <c r="G84" i="14"/>
  <c r="G63" i="14"/>
  <c r="G39" i="14"/>
  <c r="G20" i="14"/>
  <c r="G824" i="14"/>
  <c r="G804" i="14"/>
  <c r="G783" i="14"/>
  <c r="G759" i="14"/>
  <c r="G740" i="14"/>
  <c r="G720" i="14"/>
  <c r="G696" i="14"/>
  <c r="G675" i="14"/>
  <c r="G656" i="14"/>
  <c r="G632" i="14"/>
  <c r="G612" i="14"/>
  <c r="G591" i="14"/>
  <c r="G567" i="14"/>
  <c r="G548" i="14"/>
  <c r="G528" i="14"/>
  <c r="G504" i="14"/>
  <c r="G483" i="14"/>
  <c r="G464" i="14"/>
  <c r="G440" i="14"/>
  <c r="G420" i="14"/>
  <c r="G399" i="14"/>
  <c r="G375" i="14"/>
  <c r="G356" i="14"/>
  <c r="G336" i="14"/>
  <c r="G312" i="14"/>
  <c r="G291" i="14"/>
  <c r="G272" i="14"/>
  <c r="G248" i="14"/>
  <c r="G228" i="14"/>
  <c r="G207" i="14"/>
  <c r="G183" i="14"/>
  <c r="G164" i="14"/>
  <c r="G144" i="14"/>
  <c r="G120" i="14"/>
  <c r="G99" i="14"/>
  <c r="G80" i="14"/>
  <c r="G56" i="14"/>
  <c r="G36" i="14"/>
  <c r="G15" i="14"/>
  <c r="G821" i="14"/>
  <c r="G803" i="14"/>
  <c r="G782" i="14"/>
  <c r="G758" i="14"/>
  <c r="G737" i="14"/>
  <c r="G719" i="14"/>
  <c r="G695" i="14"/>
  <c r="G674" i="14"/>
  <c r="G653" i="14"/>
  <c r="G629" i="14"/>
  <c r="G611" i="14"/>
  <c r="G590" i="14"/>
  <c r="G566" i="14"/>
  <c r="G545" i="14"/>
  <c r="G527" i="14"/>
  <c r="G503" i="14"/>
  <c r="G482" i="14"/>
  <c r="G461" i="14"/>
  <c r="G437" i="14"/>
  <c r="G419" i="14"/>
  <c r="G398" i="14"/>
  <c r="G374" i="14"/>
  <c r="G353" i="14"/>
  <c r="G335" i="14"/>
  <c r="G311" i="14"/>
  <c r="G290" i="14"/>
  <c r="G269" i="14"/>
  <c r="G245" i="14"/>
  <c r="G227" i="14"/>
  <c r="G206" i="14"/>
  <c r="G182" i="14"/>
  <c r="G161" i="14"/>
  <c r="G143" i="14"/>
  <c r="G119" i="14"/>
  <c r="G98" i="14"/>
  <c r="G77" i="14"/>
  <c r="G53" i="14"/>
  <c r="G35" i="14"/>
  <c r="G14" i="14"/>
  <c r="G843" i="14"/>
  <c r="G820" i="14"/>
  <c r="G802" i="14"/>
  <c r="G780" i="14"/>
  <c r="G757" i="14"/>
  <c r="G736" i="14"/>
  <c r="G716" i="14"/>
  <c r="G694" i="14"/>
  <c r="G673" i="14"/>
  <c r="G651" i="14"/>
  <c r="G628" i="14"/>
  <c r="G610" i="14"/>
  <c r="G588" i="14"/>
  <c r="G565" i="14"/>
  <c r="G544" i="14"/>
  <c r="G524" i="14"/>
  <c r="G502" i="14"/>
  <c r="G481" i="14"/>
  <c r="G459" i="14"/>
  <c r="G436" i="14"/>
  <c r="G418" i="14"/>
  <c r="G396" i="14"/>
  <c r="G373" i="14"/>
  <c r="G352" i="14"/>
  <c r="G332" i="14"/>
  <c r="G310" i="14"/>
  <c r="G289" i="14"/>
  <c r="G267" i="14"/>
  <c r="G244" i="14"/>
  <c r="G226" i="14"/>
  <c r="G204" i="14"/>
  <c r="G181" i="14"/>
  <c r="G160" i="14"/>
  <c r="G140" i="14"/>
  <c r="G118" i="14"/>
  <c r="G97" i="14"/>
  <c r="G75" i="14"/>
  <c r="G52" i="14"/>
  <c r="G34" i="14"/>
  <c r="G12" i="14"/>
  <c r="G840" i="14"/>
  <c r="G819" i="14"/>
  <c r="G800" i="14"/>
  <c r="G776" i="14"/>
  <c r="G756" i="14"/>
  <c r="G735" i="14"/>
  <c r="G711" i="14"/>
  <c r="G692" i="14"/>
  <c r="G672" i="14"/>
  <c r="G648" i="14"/>
  <c r="G627" i="14"/>
  <c r="G608" i="14"/>
  <c r="G584" i="14"/>
  <c r="G564" i="14"/>
  <c r="G543" i="14"/>
  <c r="G519" i="14"/>
  <c r="G500" i="14"/>
  <c r="G480" i="14"/>
  <c r="G456" i="14"/>
  <c r="G435" i="14"/>
  <c r="G416" i="14"/>
  <c r="G392" i="14"/>
  <c r="G372" i="14"/>
  <c r="G351" i="14"/>
  <c r="G327" i="14"/>
  <c r="G308" i="14"/>
  <c r="G288" i="14"/>
  <c r="G264" i="14"/>
  <c r="G243" i="14"/>
  <c r="G224" i="14"/>
  <c r="G200" i="14"/>
  <c r="G180" i="14"/>
  <c r="G159" i="14"/>
  <c r="G135" i="14"/>
  <c r="G116" i="14"/>
  <c r="G96" i="14"/>
  <c r="G72" i="14"/>
  <c r="G51" i="14"/>
  <c r="G32" i="14"/>
  <c r="G8" i="14"/>
  <c r="G836" i="14"/>
  <c r="G790" i="14"/>
  <c r="G742" i="14"/>
  <c r="G686" i="14"/>
  <c r="G638" i="14"/>
  <c r="G579" i="14"/>
  <c r="G532" i="14"/>
  <c r="G484" i="14"/>
  <c r="G431" i="14"/>
  <c r="G383" i="14"/>
  <c r="G324" i="14"/>
  <c r="G277" i="14"/>
  <c r="G229" i="14"/>
  <c r="G173" i="14"/>
  <c r="G125" i="14"/>
  <c r="G68" i="14"/>
  <c r="G22" i="14"/>
  <c r="G833" i="14"/>
  <c r="G785" i="14"/>
  <c r="G728" i="14"/>
  <c r="G684" i="14"/>
  <c r="G636" i="14"/>
  <c r="G578" i="14"/>
  <c r="G530" i="14"/>
  <c r="G471" i="14"/>
  <c r="G428" i="14"/>
  <c r="G380" i="14"/>
  <c r="G323" i="14"/>
  <c r="G275" i="14"/>
  <c r="G216" i="14"/>
  <c r="G171" i="14"/>
  <c r="G123" i="14"/>
  <c r="G65" i="14"/>
  <c r="G17" i="14"/>
  <c r="G832" i="14"/>
  <c r="G784" i="14"/>
  <c r="G725" i="14"/>
  <c r="G677" i="14"/>
  <c r="G624" i="14"/>
  <c r="G577" i="14"/>
  <c r="G529" i="14"/>
  <c r="G470" i="14"/>
  <c r="G422" i="14"/>
  <c r="G368" i="14"/>
  <c r="G322" i="14"/>
  <c r="G274" i="14"/>
  <c r="G215" i="14"/>
  <c r="G167" i="14"/>
  <c r="G111" i="14"/>
  <c r="G64" i="14"/>
  <c r="G16" i="14"/>
  <c r="G769" i="14"/>
  <c r="G706" i="14"/>
  <c r="G640" i="14"/>
  <c r="G560" i="14"/>
  <c r="G495" i="14"/>
  <c r="G432" i="14"/>
  <c r="G359" i="14"/>
  <c r="G293" i="14"/>
  <c r="G230" i="14"/>
  <c r="G149" i="14"/>
  <c r="G86" i="14"/>
  <c r="G23" i="14"/>
  <c r="G830" i="14"/>
  <c r="G767" i="14"/>
  <c r="G701" i="14"/>
  <c r="G623" i="14"/>
  <c r="G557" i="14"/>
  <c r="G494" i="14"/>
  <c r="G421" i="14"/>
  <c r="G358" i="14"/>
  <c r="G292" i="14"/>
  <c r="G214" i="14"/>
  <c r="G148" i="14"/>
  <c r="G85" i="14"/>
  <c r="G4" i="14"/>
  <c r="G828" i="14"/>
  <c r="G764" i="14"/>
  <c r="G699" i="14"/>
  <c r="G620" i="14"/>
  <c r="G555" i="14"/>
  <c r="G492" i="14"/>
  <c r="G408" i="14"/>
  <c r="G344" i="14"/>
  <c r="G279" i="14"/>
  <c r="G209" i="14"/>
  <c r="G146" i="14"/>
  <c r="G83" i="14"/>
  <c r="G812" i="14"/>
  <c r="G747" i="14"/>
  <c r="G663" i="14"/>
  <c r="G600" i="14"/>
  <c r="G536" i="14"/>
  <c r="G467" i="14"/>
  <c r="G401" i="14"/>
  <c r="G338" i="14"/>
  <c r="G257" i="14"/>
  <c r="G194" i="14"/>
  <c r="G131" i="14"/>
  <c r="G60" i="14"/>
  <c r="G805" i="14"/>
  <c r="G724" i="14"/>
  <c r="G661" i="14"/>
  <c r="G598" i="14"/>
  <c r="G516" i="14"/>
  <c r="G452" i="14"/>
  <c r="G387" i="14"/>
  <c r="G317" i="14"/>
  <c r="G254" i="14"/>
  <c r="G191" i="14"/>
  <c r="G110" i="14"/>
  <c r="G47" i="14"/>
  <c r="G792" i="14"/>
  <c r="G722" i="14"/>
  <c r="G659" i="14"/>
  <c r="G593" i="14"/>
  <c r="G515" i="14"/>
  <c r="G449" i="14"/>
  <c r="G386" i="14"/>
  <c r="G315" i="14"/>
  <c r="G252" i="14"/>
  <c r="G188" i="14"/>
  <c r="G108" i="14"/>
  <c r="G44" i="14"/>
  <c r="G791" i="14"/>
  <c r="G721" i="14"/>
  <c r="G658" i="14"/>
  <c r="G592" i="14"/>
  <c r="G514" i="14"/>
  <c r="G448" i="14"/>
  <c r="G385" i="14"/>
  <c r="G303" i="14"/>
  <c r="G240" i="14"/>
  <c r="G176" i="14"/>
  <c r="G101" i="14"/>
  <c r="G38" i="14"/>
  <c r="G771" i="14"/>
  <c r="G708" i="14"/>
  <c r="G644" i="14"/>
  <c r="G575" i="14"/>
  <c r="G509" i="14"/>
  <c r="G446" i="14"/>
  <c r="G365" i="14"/>
  <c r="G302" i="14"/>
  <c r="G239" i="14"/>
  <c r="G166" i="14"/>
  <c r="G100" i="14"/>
  <c r="G37" i="14"/>
  <c r="G770" i="14"/>
  <c r="G707" i="14"/>
  <c r="G641" i="14"/>
  <c r="G572" i="14"/>
  <c r="G507" i="14"/>
  <c r="G444" i="14"/>
  <c r="G363" i="14"/>
  <c r="G300" i="14"/>
  <c r="G236" i="14"/>
  <c r="G152" i="14"/>
  <c r="G87" i="14"/>
  <c r="G24" i="14"/>
  <c r="G816" i="14"/>
  <c r="G551" i="14"/>
  <c r="G278" i="14"/>
  <c r="G815" i="14"/>
  <c r="G550" i="14"/>
  <c r="G260" i="14"/>
  <c r="G806" i="14"/>
  <c r="G533" i="14"/>
  <c r="G256" i="14"/>
  <c r="G752" i="14"/>
  <c r="G485" i="14"/>
  <c r="G208" i="14"/>
  <c r="G749" i="14"/>
  <c r="G469" i="14"/>
  <c r="G195" i="14"/>
  <c r="G743" i="14"/>
  <c r="G466" i="14"/>
  <c r="G193" i="14"/>
  <c r="G676" i="14"/>
  <c r="G406" i="14"/>
  <c r="G132" i="14"/>
  <c r="G662" i="14"/>
  <c r="G400" i="14"/>
  <c r="G130" i="14"/>
  <c r="G614" i="14"/>
  <c r="G341" i="14"/>
  <c r="G82" i="14"/>
  <c r="G613" i="14"/>
  <c r="G340" i="14"/>
  <c r="G62" i="14"/>
  <c r="G599" i="14"/>
  <c r="G337" i="14"/>
  <c r="G48" i="14"/>
  <c r="G407" i="14"/>
  <c r="G145" i="14"/>
  <c r="G687" i="14"/>
  <c r="M842" i="14"/>
  <c r="M830" i="14"/>
  <c r="M818" i="14"/>
  <c r="M806" i="14"/>
  <c r="M794" i="14"/>
  <c r="M782" i="14"/>
  <c r="M770" i="14"/>
  <c r="M758" i="14"/>
  <c r="M746" i="14"/>
  <c r="M734" i="14"/>
  <c r="M722" i="14"/>
  <c r="M710" i="14"/>
  <c r="M698" i="14"/>
  <c r="M686" i="14"/>
  <c r="M674" i="14"/>
  <c r="M662" i="14"/>
  <c r="M650" i="14"/>
  <c r="M638" i="14"/>
  <c r="M626" i="14"/>
  <c r="M614" i="14"/>
  <c r="M602" i="14"/>
  <c r="M590" i="14"/>
  <c r="M578" i="14"/>
  <c r="M566" i="14"/>
  <c r="M554" i="14"/>
  <c r="M542" i="14"/>
  <c r="M530" i="14"/>
  <c r="M518" i="14"/>
  <c r="M506" i="14"/>
  <c r="M494" i="14"/>
  <c r="M482" i="14"/>
  <c r="M470" i="14"/>
  <c r="M458" i="14"/>
  <c r="M446" i="14"/>
  <c r="M434" i="14"/>
  <c r="M422" i="14"/>
  <c r="M410" i="14"/>
  <c r="M398" i="14"/>
  <c r="M386" i="14"/>
  <c r="M374" i="14"/>
  <c r="M362" i="14"/>
  <c r="M350" i="14"/>
  <c r="M338" i="14"/>
  <c r="M326" i="14"/>
  <c r="M314" i="14"/>
  <c r="M302" i="14"/>
  <c r="M290" i="14"/>
  <c r="M278" i="14"/>
  <c r="M266" i="14"/>
  <c r="M254" i="14"/>
  <c r="M242" i="14"/>
  <c r="M230" i="14"/>
  <c r="M218" i="14"/>
  <c r="M206" i="14"/>
  <c r="M194" i="14"/>
  <c r="M182" i="14"/>
  <c r="M170" i="14"/>
  <c r="M158" i="14"/>
  <c r="M146" i="14"/>
  <c r="M134" i="14"/>
  <c r="M122" i="14"/>
  <c r="M110" i="14"/>
  <c r="M98" i="14"/>
  <c r="M86" i="14"/>
  <c r="M74" i="14"/>
  <c r="M62" i="14"/>
  <c r="M50" i="14"/>
  <c r="M38" i="14"/>
  <c r="M26" i="14"/>
  <c r="M14" i="14"/>
  <c r="M833" i="14"/>
  <c r="M821" i="14"/>
  <c r="M809" i="14"/>
  <c r="M797" i="14"/>
  <c r="M785" i="14"/>
  <c r="M773" i="14"/>
  <c r="M761" i="14"/>
  <c r="M749" i="14"/>
  <c r="M737" i="14"/>
  <c r="M725" i="14"/>
  <c r="M713" i="14"/>
  <c r="M701" i="14"/>
  <c r="M689" i="14"/>
  <c r="M677" i="14"/>
  <c r="M665" i="14"/>
  <c r="M653" i="14"/>
  <c r="M641" i="14"/>
  <c r="M629" i="14"/>
  <c r="M617" i="14"/>
  <c r="M605" i="14"/>
  <c r="M593" i="14"/>
  <c r="M581" i="14"/>
  <c r="M569" i="14"/>
  <c r="M557" i="14"/>
  <c r="M545" i="14"/>
  <c r="M533" i="14"/>
  <c r="M521" i="14"/>
  <c r="M509" i="14"/>
  <c r="M497" i="14"/>
  <c r="M485" i="14"/>
  <c r="M473" i="14"/>
  <c r="M461" i="14"/>
  <c r="M449" i="14"/>
  <c r="M437" i="14"/>
  <c r="M425" i="14"/>
  <c r="M413" i="14"/>
  <c r="M401" i="14"/>
  <c r="M389" i="14"/>
  <c r="M377" i="14"/>
  <c r="M365" i="14"/>
  <c r="M353" i="14"/>
  <c r="M341" i="14"/>
  <c r="M329" i="14"/>
  <c r="M843" i="14"/>
  <c r="M831" i="14"/>
  <c r="M819" i="14"/>
  <c r="M807" i="14"/>
  <c r="M795" i="14"/>
  <c r="M783" i="14"/>
  <c r="M771" i="14"/>
  <c r="M759" i="14"/>
  <c r="M747" i="14"/>
  <c r="M735" i="14"/>
  <c r="M723" i="14"/>
  <c r="M711" i="14"/>
  <c r="M699" i="14"/>
  <c r="M687" i="14"/>
  <c r="M675" i="14"/>
  <c r="M663" i="14"/>
  <c r="M651" i="14"/>
  <c r="M639" i="14"/>
  <c r="M627" i="14"/>
  <c r="M615" i="14"/>
  <c r="M603" i="14"/>
  <c r="M591" i="14"/>
  <c r="M579" i="14"/>
  <c r="M567" i="14"/>
  <c r="M555" i="14"/>
  <c r="M543" i="14"/>
  <c r="M531" i="14"/>
  <c r="M519" i="14"/>
  <c r="M507" i="14"/>
  <c r="M495" i="14"/>
  <c r="M483" i="14"/>
  <c r="M471" i="14"/>
  <c r="M459" i="14"/>
  <c r="M447" i="14"/>
  <c r="M435" i="14"/>
  <c r="M423" i="14"/>
  <c r="M411" i="14"/>
  <c r="M399" i="14"/>
  <c r="M387" i="14"/>
  <c r="M375" i="14"/>
  <c r="M363" i="14"/>
  <c r="M351" i="14"/>
  <c r="M835" i="14"/>
  <c r="M817" i="14"/>
  <c r="M802" i="14"/>
  <c r="M787" i="14"/>
  <c r="M769" i="14"/>
  <c r="M754" i="14"/>
  <c r="M739" i="14"/>
  <c r="M721" i="14"/>
  <c r="M706" i="14"/>
  <c r="M691" i="14"/>
  <c r="M673" i="14"/>
  <c r="M658" i="14"/>
  <c r="M643" i="14"/>
  <c r="M625" i="14"/>
  <c r="M610" i="14"/>
  <c r="M595" i="14"/>
  <c r="M577" i="14"/>
  <c r="M562" i="14"/>
  <c r="M547" i="14"/>
  <c r="M529" i="14"/>
  <c r="M514" i="14"/>
  <c r="M499" i="14"/>
  <c r="M481" i="14"/>
  <c r="M466" i="14"/>
  <c r="M451" i="14"/>
  <c r="M433" i="14"/>
  <c r="M418" i="14"/>
  <c r="M403" i="14"/>
  <c r="M385" i="14"/>
  <c r="M370" i="14"/>
  <c r="M355" i="14"/>
  <c r="M339" i="14"/>
  <c r="M324" i="14"/>
  <c r="M311" i="14"/>
  <c r="M298" i="14"/>
  <c r="M285" i="14"/>
  <c r="M272" i="14"/>
  <c r="M259" i="14"/>
  <c r="M246" i="14"/>
  <c r="M233" i="14"/>
  <c r="M220" i="14"/>
  <c r="M207" i="14"/>
  <c r="M193" i="14"/>
  <c r="M180" i="14"/>
  <c r="M167" i="14"/>
  <c r="M154" i="14"/>
  <c r="M141" i="14"/>
  <c r="M128" i="14"/>
  <c r="M115" i="14"/>
  <c r="M102" i="14"/>
  <c r="M89" i="14"/>
  <c r="M76" i="14"/>
  <c r="M63" i="14"/>
  <c r="M49" i="14"/>
  <c r="M36" i="14"/>
  <c r="M23" i="14"/>
  <c r="M10" i="14"/>
  <c r="M834" i="14"/>
  <c r="M816" i="14"/>
  <c r="M801" i="14"/>
  <c r="M786" i="14"/>
  <c r="M768" i="14"/>
  <c r="M753" i="14"/>
  <c r="M738" i="14"/>
  <c r="M720" i="14"/>
  <c r="M705" i="14"/>
  <c r="M690" i="14"/>
  <c r="M672" i="14"/>
  <c r="M657" i="14"/>
  <c r="M642" i="14"/>
  <c r="M624" i="14"/>
  <c r="M609" i="14"/>
  <c r="M594" i="14"/>
  <c r="M576" i="14"/>
  <c r="M561" i="14"/>
  <c r="M546" i="14"/>
  <c r="M528" i="14"/>
  <c r="M513" i="14"/>
  <c r="M498" i="14"/>
  <c r="M480" i="14"/>
  <c r="M465" i="14"/>
  <c r="M450" i="14"/>
  <c r="M432" i="14"/>
  <c r="M417" i="14"/>
  <c r="M402" i="14"/>
  <c r="M384" i="14"/>
  <c r="M369" i="14"/>
  <c r="M354" i="14"/>
  <c r="M337" i="14"/>
  <c r="M323" i="14"/>
  <c r="M310" i="14"/>
  <c r="M297" i="14"/>
  <c r="M284" i="14"/>
  <c r="M271" i="14"/>
  <c r="M258" i="14"/>
  <c r="M245" i="14"/>
  <c r="M232" i="14"/>
  <c r="M219" i="14"/>
  <c r="M205" i="14"/>
  <c r="M192" i="14"/>
  <c r="M179" i="14"/>
  <c r="M166" i="14"/>
  <c r="M153" i="14"/>
  <c r="M140" i="14"/>
  <c r="M127" i="14"/>
  <c r="M114" i="14"/>
  <c r="M101" i="14"/>
  <c r="M88" i="14"/>
  <c r="M75" i="14"/>
  <c r="M61" i="14"/>
  <c r="M48" i="14"/>
  <c r="M35" i="14"/>
  <c r="M22" i="14"/>
  <c r="M9" i="14"/>
  <c r="M838" i="14"/>
  <c r="M823" i="14"/>
  <c r="M805" i="14"/>
  <c r="M790" i="14"/>
  <c r="M775" i="14"/>
  <c r="M757" i="14"/>
  <c r="M742" i="14"/>
  <c r="M727" i="14"/>
  <c r="M709" i="14"/>
  <c r="M694" i="14"/>
  <c r="M679" i="14"/>
  <c r="M661" i="14"/>
  <c r="M646" i="14"/>
  <c r="M631" i="14"/>
  <c r="M613" i="14"/>
  <c r="M598" i="14"/>
  <c r="M583" i="14"/>
  <c r="M565" i="14"/>
  <c r="M550" i="14"/>
  <c r="M535" i="14"/>
  <c r="M517" i="14"/>
  <c r="M502" i="14"/>
  <c r="M487" i="14"/>
  <c r="M469" i="14"/>
  <c r="M454" i="14"/>
  <c r="M439" i="14"/>
  <c r="M421" i="14"/>
  <c r="M406" i="14"/>
  <c r="M391" i="14"/>
  <c r="M373" i="14"/>
  <c r="M358" i="14"/>
  <c r="M343" i="14"/>
  <c r="M328" i="14"/>
  <c r="M315" i="14"/>
  <c r="M301" i="14"/>
  <c r="M288" i="14"/>
  <c r="M275" i="14"/>
  <c r="M262" i="14"/>
  <c r="M827" i="14"/>
  <c r="M808" i="14"/>
  <c r="M784" i="14"/>
  <c r="M764" i="14"/>
  <c r="M743" i="14"/>
  <c r="M719" i="14"/>
  <c r="M700" i="14"/>
  <c r="M680" i="14"/>
  <c r="M656" i="14"/>
  <c r="M635" i="14"/>
  <c r="M616" i="14"/>
  <c r="M592" i="14"/>
  <c r="M572" i="14"/>
  <c r="M551" i="14"/>
  <c r="M527" i="14"/>
  <c r="M508" i="14"/>
  <c r="M488" i="14"/>
  <c r="M464" i="14"/>
  <c r="M443" i="14"/>
  <c r="M424" i="14"/>
  <c r="M400" i="14"/>
  <c r="M380" i="14"/>
  <c r="M359" i="14"/>
  <c r="M336" i="14"/>
  <c r="M319" i="14"/>
  <c r="M303" i="14"/>
  <c r="M283" i="14"/>
  <c r="M267" i="14"/>
  <c r="M250" i="14"/>
  <c r="M235" i="14"/>
  <c r="M217" i="14"/>
  <c r="M202" i="14"/>
  <c r="M187" i="14"/>
  <c r="M172" i="14"/>
  <c r="M156" i="14"/>
  <c r="M139" i="14"/>
  <c r="M124" i="14"/>
  <c r="M108" i="14"/>
  <c r="M93" i="14"/>
  <c r="M78" i="14"/>
  <c r="M60" i="14"/>
  <c r="M45" i="14"/>
  <c r="M30" i="14"/>
  <c r="M15" i="14"/>
  <c r="M832" i="14"/>
  <c r="M812" i="14"/>
  <c r="M791" i="14"/>
  <c r="M767" i="14"/>
  <c r="M748" i="14"/>
  <c r="M728" i="14"/>
  <c r="M704" i="14"/>
  <c r="M683" i="14"/>
  <c r="M664" i="14"/>
  <c r="M640" i="14"/>
  <c r="M620" i="14"/>
  <c r="M599" i="14"/>
  <c r="M575" i="14"/>
  <c r="M556" i="14"/>
  <c r="M536" i="14"/>
  <c r="M512" i="14"/>
  <c r="M491" i="14"/>
  <c r="M472" i="14"/>
  <c r="M448" i="14"/>
  <c r="M428" i="14"/>
  <c r="M407" i="14"/>
  <c r="M383" i="14"/>
  <c r="M364" i="14"/>
  <c r="M344" i="14"/>
  <c r="M322" i="14"/>
  <c r="M306" i="14"/>
  <c r="M289" i="14"/>
  <c r="M270" i="14"/>
  <c r="M253" i="14"/>
  <c r="M238" i="14"/>
  <c r="M223" i="14"/>
  <c r="M208" i="14"/>
  <c r="M190" i="14"/>
  <c r="M175" i="14"/>
  <c r="M160" i="14"/>
  <c r="M144" i="14"/>
  <c r="M129" i="14"/>
  <c r="M112" i="14"/>
  <c r="M96" i="14"/>
  <c r="M81" i="14"/>
  <c r="M66" i="14"/>
  <c r="M51" i="14"/>
  <c r="M33" i="14"/>
  <c r="M18" i="14"/>
  <c r="M4" i="14"/>
  <c r="M828" i="14"/>
  <c r="M810" i="14"/>
  <c r="M788" i="14"/>
  <c r="M765" i="14"/>
  <c r="M744" i="14"/>
  <c r="M724" i="14"/>
  <c r="M702" i="14"/>
  <c r="M681" i="14"/>
  <c r="M659" i="14"/>
  <c r="M636" i="14"/>
  <c r="M618" i="14"/>
  <c r="M596" i="14"/>
  <c r="M573" i="14"/>
  <c r="M552" i="14"/>
  <c r="M532" i="14"/>
  <c r="M510" i="14"/>
  <c r="M489" i="14"/>
  <c r="M467" i="14"/>
  <c r="M444" i="14"/>
  <c r="M426" i="14"/>
  <c r="M404" i="14"/>
  <c r="M381" i="14"/>
  <c r="M360" i="14"/>
  <c r="M340" i="14"/>
  <c r="M320" i="14"/>
  <c r="M304" i="14"/>
  <c r="M286" i="14"/>
  <c r="M268" i="14"/>
  <c r="M251" i="14"/>
  <c r="M236" i="14"/>
  <c r="M221" i="14"/>
  <c r="M203" i="14"/>
  <c r="M188" i="14"/>
  <c r="M173" i="14"/>
  <c r="M157" i="14"/>
  <c r="M142" i="14"/>
  <c r="M125" i="14"/>
  <c r="M109" i="14"/>
  <c r="M94" i="14"/>
  <c r="M79" i="14"/>
  <c r="M64" i="14"/>
  <c r="M46" i="14"/>
  <c r="M31" i="14"/>
  <c r="M16" i="14"/>
  <c r="M824" i="14"/>
  <c r="M796" i="14"/>
  <c r="M766" i="14"/>
  <c r="M736" i="14"/>
  <c r="M712" i="14"/>
  <c r="M682" i="14"/>
  <c r="M652" i="14"/>
  <c r="M623" i="14"/>
  <c r="M597" i="14"/>
  <c r="M568" i="14"/>
  <c r="M539" i="14"/>
  <c r="M511" i="14"/>
  <c r="M479" i="14"/>
  <c r="M455" i="14"/>
  <c r="M427" i="14"/>
  <c r="M395" i="14"/>
  <c r="M368" i="14"/>
  <c r="M342" i="14"/>
  <c r="M316" i="14"/>
  <c r="M293" i="14"/>
  <c r="M269" i="14"/>
  <c r="M247" i="14"/>
  <c r="M226" i="14"/>
  <c r="M204" i="14"/>
  <c r="M184" i="14"/>
  <c r="M163" i="14"/>
  <c r="M143" i="14"/>
  <c r="M120" i="14"/>
  <c r="M100" i="14"/>
  <c r="M80" i="14"/>
  <c r="M57" i="14"/>
  <c r="M39" i="14"/>
  <c r="M17" i="14"/>
  <c r="M841" i="14"/>
  <c r="M814" i="14"/>
  <c r="M781" i="14"/>
  <c r="M756" i="14"/>
  <c r="M730" i="14"/>
  <c r="M697" i="14"/>
  <c r="M670" i="14"/>
  <c r="M645" i="14"/>
  <c r="M612" i="14"/>
  <c r="M586" i="14"/>
  <c r="M559" i="14"/>
  <c r="M526" i="14"/>
  <c r="M501" i="14"/>
  <c r="M475" i="14"/>
  <c r="M442" i="14"/>
  <c r="M415" i="14"/>
  <c r="M390" i="14"/>
  <c r="M357" i="14"/>
  <c r="M332" i="14"/>
  <c r="M308" i="14"/>
  <c r="M282" i="14"/>
  <c r="M261" i="14"/>
  <c r="M240" i="14"/>
  <c r="M216" i="14"/>
  <c r="M198" i="14"/>
  <c r="M177" i="14"/>
  <c r="M155" i="14"/>
  <c r="M135" i="14"/>
  <c r="M116" i="14"/>
  <c r="M92" i="14"/>
  <c r="M71" i="14"/>
  <c r="M53" i="14"/>
  <c r="M29" i="14"/>
  <c r="M8" i="14"/>
  <c r="M840" i="14"/>
  <c r="M826" i="14"/>
  <c r="M793" i="14"/>
  <c r="M760" i="14"/>
  <c r="M726" i="14"/>
  <c r="M692" i="14"/>
  <c r="M655" i="14"/>
  <c r="M622" i="14"/>
  <c r="M587" i="14"/>
  <c r="M553" i="14"/>
  <c r="M522" i="14"/>
  <c r="M486" i="14"/>
  <c r="M453" i="14"/>
  <c r="M416" i="14"/>
  <c r="M382" i="14"/>
  <c r="M348" i="14"/>
  <c r="M318" i="14"/>
  <c r="M292" i="14"/>
  <c r="M263" i="14"/>
  <c r="M237" i="14"/>
  <c r="M212" i="14"/>
  <c r="M186" i="14"/>
  <c r="M162" i="14"/>
  <c r="M136" i="14"/>
  <c r="M111" i="14"/>
  <c r="M85" i="14"/>
  <c r="M59" i="14"/>
  <c r="M37" i="14"/>
  <c r="M11" i="14"/>
  <c r="M836" i="14"/>
  <c r="M799" i="14"/>
  <c r="M763" i="14"/>
  <c r="M731" i="14"/>
  <c r="M695" i="14"/>
  <c r="M666" i="14"/>
  <c r="M630" i="14"/>
  <c r="M589" i="14"/>
  <c r="M560" i="14"/>
  <c r="M524" i="14"/>
  <c r="M492" i="14"/>
  <c r="M457" i="14"/>
  <c r="M420" i="14"/>
  <c r="M392" i="14"/>
  <c r="M352" i="14"/>
  <c r="M325" i="14"/>
  <c r="M295" i="14"/>
  <c r="M265" i="14"/>
  <c r="M241" i="14"/>
  <c r="M214" i="14"/>
  <c r="M191" i="14"/>
  <c r="M165" i="14"/>
  <c r="M138" i="14"/>
  <c r="M117" i="14"/>
  <c r="M90" i="14"/>
  <c r="M67" i="14"/>
  <c r="M41" i="14"/>
  <c r="M13" i="14"/>
  <c r="M800" i="14"/>
  <c r="M755" i="14"/>
  <c r="M716" i="14"/>
  <c r="M676" i="14"/>
  <c r="M634" i="14"/>
  <c r="M600" i="14"/>
  <c r="M549" i="14"/>
  <c r="M515" i="14"/>
  <c r="M474" i="14"/>
  <c r="M431" i="14"/>
  <c r="M393" i="14"/>
  <c r="M347" i="14"/>
  <c r="M312" i="14"/>
  <c r="M279" i="14"/>
  <c r="M248" i="14"/>
  <c r="M215" i="14"/>
  <c r="M185" i="14"/>
  <c r="M152" i="14"/>
  <c r="M126" i="14"/>
  <c r="M97" i="14"/>
  <c r="M68" i="14"/>
  <c r="M34" i="14"/>
  <c r="M5" i="14"/>
  <c r="M839" i="14"/>
  <c r="M798" i="14"/>
  <c r="M752" i="14"/>
  <c r="M715" i="14"/>
  <c r="M671" i="14"/>
  <c r="M633" i="14"/>
  <c r="M588" i="14"/>
  <c r="M548" i="14"/>
  <c r="M505" i="14"/>
  <c r="M468" i="14"/>
  <c r="M430" i="14"/>
  <c r="M388" i="14"/>
  <c r="M346" i="14"/>
  <c r="M309" i="14"/>
  <c r="M277" i="14"/>
  <c r="M244" i="14"/>
  <c r="M213" i="14"/>
  <c r="M183" i="14"/>
  <c r="M151" i="14"/>
  <c r="M123" i="14"/>
  <c r="M95" i="14"/>
  <c r="M65" i="14"/>
  <c r="M32" i="14"/>
  <c r="M822" i="14"/>
  <c r="M779" i="14"/>
  <c r="M741" i="14"/>
  <c r="M703" i="14"/>
  <c r="M660" i="14"/>
  <c r="M619" i="14"/>
  <c r="M580" i="14"/>
  <c r="M538" i="14"/>
  <c r="M496" i="14"/>
  <c r="M456" i="14"/>
  <c r="M412" i="14"/>
  <c r="M372" i="14"/>
  <c r="M333" i="14"/>
  <c r="M299" i="14"/>
  <c r="M264" i="14"/>
  <c r="M231" i="14"/>
  <c r="M201" i="14"/>
  <c r="M174" i="14"/>
  <c r="M147" i="14"/>
  <c r="M113" i="14"/>
  <c r="M83" i="14"/>
  <c r="M54" i="14"/>
  <c r="M24" i="14"/>
  <c r="M811" i="14"/>
  <c r="M774" i="14"/>
  <c r="M729" i="14"/>
  <c r="M685" i="14"/>
  <c r="M647" i="14"/>
  <c r="M606" i="14"/>
  <c r="M564" i="14"/>
  <c r="M523" i="14"/>
  <c r="M478" i="14"/>
  <c r="M440" i="14"/>
  <c r="M397" i="14"/>
  <c r="M361" i="14"/>
  <c r="M321" i="14"/>
  <c r="M287" i="14"/>
  <c r="M255" i="14"/>
  <c r="M225" i="14"/>
  <c r="M196" i="14"/>
  <c r="M164" i="14"/>
  <c r="M132" i="14"/>
  <c r="M104" i="14"/>
  <c r="M72" i="14"/>
  <c r="M43" i="14"/>
  <c r="M12" i="14"/>
  <c r="M804" i="14"/>
  <c r="M772" i="14"/>
  <c r="M718" i="14"/>
  <c r="M684" i="14"/>
  <c r="M644" i="14"/>
  <c r="M604" i="14"/>
  <c r="M563" i="14"/>
  <c r="M520" i="14"/>
  <c r="M477" i="14"/>
  <c r="M438" i="14"/>
  <c r="M396" i="14"/>
  <c r="M356" i="14"/>
  <c r="M317" i="14"/>
  <c r="M281" i="14"/>
  <c r="M252" i="14"/>
  <c r="M224" i="14"/>
  <c r="M195" i="14"/>
  <c r="M161" i="14"/>
  <c r="M131" i="14"/>
  <c r="M103" i="14"/>
  <c r="M70" i="14"/>
  <c r="M42" i="14"/>
  <c r="M7" i="14"/>
  <c r="M803" i="14"/>
  <c r="M762" i="14"/>
  <c r="M717" i="14"/>
  <c r="M678" i="14"/>
  <c r="M637" i="14"/>
  <c r="M601" i="14"/>
  <c r="M558" i="14"/>
  <c r="M516" i="14"/>
  <c r="M476" i="14"/>
  <c r="M436" i="14"/>
  <c r="M394" i="14"/>
  <c r="M349" i="14"/>
  <c r="M313" i="14"/>
  <c r="M280" i="14"/>
  <c r="M249" i="14"/>
  <c r="M222" i="14"/>
  <c r="M189" i="14"/>
  <c r="M159" i="14"/>
  <c r="M130" i="14"/>
  <c r="M99" i="14"/>
  <c r="M69" i="14"/>
  <c r="M40" i="14"/>
  <c r="M6" i="14"/>
  <c r="M837" i="14"/>
  <c r="M751" i="14"/>
  <c r="M669" i="14"/>
  <c r="M585" i="14"/>
  <c r="M504" i="14"/>
  <c r="M429" i="14"/>
  <c r="M345" i="14"/>
  <c r="M276" i="14"/>
  <c r="M211" i="14"/>
  <c r="M150" i="14"/>
  <c r="M91" i="14"/>
  <c r="M28" i="14"/>
  <c r="M829" i="14"/>
  <c r="M750" i="14"/>
  <c r="M668" i="14"/>
  <c r="M584" i="14"/>
  <c r="M503" i="14"/>
  <c r="M419" i="14"/>
  <c r="M335" i="14"/>
  <c r="M274" i="14"/>
  <c r="M210" i="14"/>
  <c r="M149" i="14"/>
  <c r="M87" i="14"/>
  <c r="M27" i="14"/>
  <c r="M825" i="14"/>
  <c r="M745" i="14"/>
  <c r="M667" i="14"/>
  <c r="M582" i="14"/>
  <c r="M500" i="14"/>
  <c r="M414" i="14"/>
  <c r="M334" i="14"/>
  <c r="M273" i="14"/>
  <c r="M209" i="14"/>
  <c r="M148" i="14"/>
  <c r="M813" i="14"/>
  <c r="M732" i="14"/>
  <c r="M648" i="14"/>
  <c r="M570" i="14"/>
  <c r="M484" i="14"/>
  <c r="M405" i="14"/>
  <c r="M327" i="14"/>
  <c r="M256" i="14"/>
  <c r="M197" i="14"/>
  <c r="M133" i="14"/>
  <c r="M73" i="14"/>
  <c r="M19" i="14"/>
  <c r="M780" i="14"/>
  <c r="M707" i="14"/>
  <c r="M621" i="14"/>
  <c r="M540" i="14"/>
  <c r="M460" i="14"/>
  <c r="M376" i="14"/>
  <c r="M300" i="14"/>
  <c r="M234" i="14"/>
  <c r="M176" i="14"/>
  <c r="M118" i="14"/>
  <c r="M55" i="14"/>
  <c r="M778" i="14"/>
  <c r="M696" i="14"/>
  <c r="M611" i="14"/>
  <c r="M537" i="14"/>
  <c r="M452" i="14"/>
  <c r="M371" i="14"/>
  <c r="M296" i="14"/>
  <c r="M229" i="14"/>
  <c r="M171" i="14"/>
  <c r="M107" i="14"/>
  <c r="M52" i="14"/>
  <c r="M777" i="14"/>
  <c r="M693" i="14"/>
  <c r="M608" i="14"/>
  <c r="M534" i="14"/>
  <c r="M445" i="14"/>
  <c r="M367" i="14"/>
  <c r="M294" i="14"/>
  <c r="M228" i="14"/>
  <c r="M169" i="14"/>
  <c r="M106" i="14"/>
  <c r="M47" i="14"/>
  <c r="M776" i="14"/>
  <c r="M688" i="14"/>
  <c r="M607" i="14"/>
  <c r="M525" i="14"/>
  <c r="M441" i="14"/>
  <c r="M366" i="14"/>
  <c r="M291" i="14"/>
  <c r="M227" i="14"/>
  <c r="M168" i="14"/>
  <c r="M105" i="14"/>
  <c r="M44" i="14"/>
  <c r="M654" i="14"/>
  <c r="M409" i="14"/>
  <c r="M200" i="14"/>
  <c r="M56" i="14"/>
  <c r="M649" i="14"/>
  <c r="M408" i="14"/>
  <c r="M199" i="14"/>
  <c r="M25" i="14"/>
  <c r="M815" i="14"/>
  <c r="M571" i="14"/>
  <c r="M330" i="14"/>
  <c r="M137" i="14"/>
  <c r="M740" i="14"/>
  <c r="M493" i="14"/>
  <c r="M260" i="14"/>
  <c r="M84" i="14"/>
  <c r="M733" i="14"/>
  <c r="M490" i="14"/>
  <c r="M257" i="14"/>
  <c r="M82" i="14"/>
  <c r="M714" i="14"/>
  <c r="M463" i="14"/>
  <c r="M243" i="14"/>
  <c r="M77" i="14"/>
  <c r="M708" i="14"/>
  <c r="M462" i="14"/>
  <c r="M239" i="14"/>
  <c r="M58" i="14"/>
  <c r="M541" i="14"/>
  <c r="M20" i="14"/>
  <c r="M379" i="14"/>
  <c r="M820" i="14"/>
  <c r="M305" i="14"/>
  <c r="M632" i="14"/>
  <c r="M145" i="14"/>
  <c r="M628" i="14"/>
  <c r="M121" i="14"/>
  <c r="M574" i="14"/>
  <c r="M119" i="14"/>
  <c r="M544" i="14"/>
  <c r="M21" i="14"/>
  <c r="M792" i="14"/>
  <c r="M789" i="14"/>
  <c r="M331" i="14"/>
  <c r="M307" i="14"/>
  <c r="M181" i="14"/>
  <c r="M178" i="14"/>
  <c r="M378" i="14"/>
  <c r="K832" i="14"/>
  <c r="K820" i="14"/>
  <c r="K808" i="14"/>
  <c r="K796" i="14"/>
  <c r="K784" i="14"/>
  <c r="K772" i="14"/>
  <c r="K760" i="14"/>
  <c r="K748" i="14"/>
  <c r="K736" i="14"/>
  <c r="K724" i="14"/>
  <c r="K712" i="14"/>
  <c r="K700" i="14"/>
  <c r="K688" i="14"/>
  <c r="K676" i="14"/>
  <c r="K664" i="14"/>
  <c r="K652" i="14"/>
  <c r="K640" i="14"/>
  <c r="K628" i="14"/>
  <c r="K616" i="14"/>
  <c r="K604" i="14"/>
  <c r="K592" i="14"/>
  <c r="K580" i="14"/>
  <c r="K568" i="14"/>
  <c r="K556" i="14"/>
  <c r="K544" i="14"/>
  <c r="K532" i="14"/>
  <c r="K520" i="14"/>
  <c r="K508" i="14"/>
  <c r="K496" i="14"/>
  <c r="K484" i="14"/>
  <c r="K472" i="14"/>
  <c r="K460" i="14"/>
  <c r="K448" i="14"/>
  <c r="K436" i="14"/>
  <c r="K424" i="14"/>
  <c r="K412" i="14"/>
  <c r="K400" i="14"/>
  <c r="K388" i="14"/>
  <c r="K376" i="14"/>
  <c r="K364" i="14"/>
  <c r="K352" i="14"/>
  <c r="K340" i="14"/>
  <c r="K328" i="14"/>
  <c r="K316" i="14"/>
  <c r="K304" i="14"/>
  <c r="K292" i="14"/>
  <c r="K280" i="14"/>
  <c r="K268" i="14"/>
  <c r="K256" i="14"/>
  <c r="K244" i="14"/>
  <c r="K232" i="14"/>
  <c r="K220" i="14"/>
  <c r="K208" i="14"/>
  <c r="K196" i="14"/>
  <c r="K184" i="14"/>
  <c r="K172" i="14"/>
  <c r="K160" i="14"/>
  <c r="K148" i="14"/>
  <c r="K136" i="14"/>
  <c r="K124" i="14"/>
  <c r="K112" i="14"/>
  <c r="K100" i="14"/>
  <c r="K88" i="14"/>
  <c r="K76" i="14"/>
  <c r="K64" i="14"/>
  <c r="K52" i="14"/>
  <c r="K40" i="14"/>
  <c r="K28" i="14"/>
  <c r="K16" i="14"/>
  <c r="K841" i="14"/>
  <c r="K828" i="14"/>
  <c r="K815" i="14"/>
  <c r="K802" i="14"/>
  <c r="K789" i="14"/>
  <c r="K776" i="14"/>
  <c r="K763" i="14"/>
  <c r="K750" i="14"/>
  <c r="K737" i="14"/>
  <c r="K723" i="14"/>
  <c r="K710" i="14"/>
  <c r="K697" i="14"/>
  <c r="K684" i="14"/>
  <c r="K671" i="14"/>
  <c r="K658" i="14"/>
  <c r="K645" i="14"/>
  <c r="K632" i="14"/>
  <c r="K619" i="14"/>
  <c r="K606" i="14"/>
  <c r="K593" i="14"/>
  <c r="K579" i="14"/>
  <c r="K566" i="14"/>
  <c r="K553" i="14"/>
  <c r="K540" i="14"/>
  <c r="K527" i="14"/>
  <c r="K514" i="14"/>
  <c r="K501" i="14"/>
  <c r="K488" i="14"/>
  <c r="K475" i="14"/>
  <c r="K462" i="14"/>
  <c r="K449" i="14"/>
  <c r="K435" i="14"/>
  <c r="K422" i="14"/>
  <c r="K409" i="14"/>
  <c r="K396" i="14"/>
  <c r="K383" i="14"/>
  <c r="K370" i="14"/>
  <c r="K357" i="14"/>
  <c r="K344" i="14"/>
  <c r="K331" i="14"/>
  <c r="K318" i="14"/>
  <c r="K305" i="14"/>
  <c r="K291" i="14"/>
  <c r="K278" i="14"/>
  <c r="K265" i="14"/>
  <c r="K252" i="14"/>
  <c r="K239" i="14"/>
  <c r="K226" i="14"/>
  <c r="K213" i="14"/>
  <c r="K200" i="14"/>
  <c r="K187" i="14"/>
  <c r="K174" i="14"/>
  <c r="K161" i="14"/>
  <c r="K147" i="14"/>
  <c r="K134" i="14"/>
  <c r="K121" i="14"/>
  <c r="K108" i="14"/>
  <c r="K95" i="14"/>
  <c r="K82" i="14"/>
  <c r="K69" i="14"/>
  <c r="K56" i="14"/>
  <c r="K43" i="14"/>
  <c r="K30" i="14"/>
  <c r="K17" i="14"/>
  <c r="K4" i="14"/>
  <c r="K842" i="14"/>
  <c r="K827" i="14"/>
  <c r="K813" i="14"/>
  <c r="K799" i="14"/>
  <c r="K785" i="14"/>
  <c r="K770" i="14"/>
  <c r="K756" i="14"/>
  <c r="K742" i="14"/>
  <c r="K728" i="14"/>
  <c r="K714" i="14"/>
  <c r="K699" i="14"/>
  <c r="K685" i="14"/>
  <c r="K670" i="14"/>
  <c r="K656" i="14"/>
  <c r="K642" i="14"/>
  <c r="K627" i="14"/>
  <c r="K613" i="14"/>
  <c r="K599" i="14"/>
  <c r="K585" i="14"/>
  <c r="K571" i="14"/>
  <c r="K557" i="14"/>
  <c r="K542" i="14"/>
  <c r="K528" i="14"/>
  <c r="K513" i="14"/>
  <c r="K499" i="14"/>
  <c r="K485" i="14"/>
  <c r="K470" i="14"/>
  <c r="K456" i="14"/>
  <c r="K442" i="14"/>
  <c r="K428" i="14"/>
  <c r="K414" i="14"/>
  <c r="K399" i="14"/>
  <c r="K385" i="14"/>
  <c r="K371" i="14"/>
  <c r="K356" i="14"/>
  <c r="K342" i="14"/>
  <c r="K327" i="14"/>
  <c r="K313" i="14"/>
  <c r="K299" i="14"/>
  <c r="K285" i="14"/>
  <c r="K271" i="14"/>
  <c r="K257" i="14"/>
  <c r="K242" i="14"/>
  <c r="K228" i="14"/>
  <c r="K214" i="14"/>
  <c r="K199" i="14"/>
  <c r="K185" i="14"/>
  <c r="K170" i="14"/>
  <c r="K156" i="14"/>
  <c r="K142" i="14"/>
  <c r="K128" i="14"/>
  <c r="K114" i="14"/>
  <c r="K99" i="14"/>
  <c r="K85" i="14"/>
  <c r="K71" i="14"/>
  <c r="K57" i="14"/>
  <c r="K42" i="14"/>
  <c r="K27" i="14"/>
  <c r="K13" i="14"/>
  <c r="K831" i="14"/>
  <c r="K817" i="14"/>
  <c r="K803" i="14"/>
  <c r="K788" i="14"/>
  <c r="K774" i="14"/>
  <c r="K759" i="14"/>
  <c r="K745" i="14"/>
  <c r="K731" i="14"/>
  <c r="K717" i="14"/>
  <c r="K703" i="14"/>
  <c r="K689" i="14"/>
  <c r="K674" i="14"/>
  <c r="K660" i="14"/>
  <c r="K646" i="14"/>
  <c r="K631" i="14"/>
  <c r="K617" i="14"/>
  <c r="K602" i="14"/>
  <c r="K588" i="14"/>
  <c r="K574" i="14"/>
  <c r="K560" i="14"/>
  <c r="K546" i="14"/>
  <c r="K531" i="14"/>
  <c r="K517" i="14"/>
  <c r="K503" i="14"/>
  <c r="K489" i="14"/>
  <c r="K474" i="14"/>
  <c r="K459" i="14"/>
  <c r="K445" i="14"/>
  <c r="K431" i="14"/>
  <c r="K417" i="14"/>
  <c r="K403" i="14"/>
  <c r="K389" i="14"/>
  <c r="K374" i="14"/>
  <c r="K360" i="14"/>
  <c r="K346" i="14"/>
  <c r="K332" i="14"/>
  <c r="K317" i="14"/>
  <c r="K302" i="14"/>
  <c r="K288" i="14"/>
  <c r="K274" i="14"/>
  <c r="K260" i="14"/>
  <c r="K246" i="14"/>
  <c r="K231" i="14"/>
  <c r="K217" i="14"/>
  <c r="K203" i="14"/>
  <c r="K189" i="14"/>
  <c r="K175" i="14"/>
  <c r="K159" i="14"/>
  <c r="K145" i="14"/>
  <c r="K131" i="14"/>
  <c r="K117" i="14"/>
  <c r="K103" i="14"/>
  <c r="K89" i="14"/>
  <c r="K74" i="14"/>
  <c r="K60" i="14"/>
  <c r="K46" i="14"/>
  <c r="K32" i="14"/>
  <c r="K18" i="14"/>
  <c r="K843" i="14"/>
  <c r="K829" i="14"/>
  <c r="K814" i="14"/>
  <c r="K800" i="14"/>
  <c r="K786" i="14"/>
  <c r="K771" i="14"/>
  <c r="K757" i="14"/>
  <c r="K743" i="14"/>
  <c r="K729" i="14"/>
  <c r="K715" i="14"/>
  <c r="K701" i="14"/>
  <c r="K686" i="14"/>
  <c r="K672" i="14"/>
  <c r="K657" i="14"/>
  <c r="K643" i="14"/>
  <c r="K629" i="14"/>
  <c r="K614" i="14"/>
  <c r="K600" i="14"/>
  <c r="K586" i="14"/>
  <c r="K572" i="14"/>
  <c r="K558" i="14"/>
  <c r="K543" i="14"/>
  <c r="K529" i="14"/>
  <c r="K515" i="14"/>
  <c r="K500" i="14"/>
  <c r="K486" i="14"/>
  <c r="K471" i="14"/>
  <c r="K457" i="14"/>
  <c r="K443" i="14"/>
  <c r="K429" i="14"/>
  <c r="K415" i="14"/>
  <c r="K401" i="14"/>
  <c r="K386" i="14"/>
  <c r="K372" i="14"/>
  <c r="K358" i="14"/>
  <c r="K343" i="14"/>
  <c r="K329" i="14"/>
  <c r="K314" i="14"/>
  <c r="K300" i="14"/>
  <c r="K286" i="14"/>
  <c r="K272" i="14"/>
  <c r="K258" i="14"/>
  <c r="K243" i="14"/>
  <c r="K229" i="14"/>
  <c r="K215" i="14"/>
  <c r="K201" i="14"/>
  <c r="K186" i="14"/>
  <c r="K171" i="14"/>
  <c r="K157" i="14"/>
  <c r="K143" i="14"/>
  <c r="K129" i="14"/>
  <c r="K115" i="14"/>
  <c r="K101" i="14"/>
  <c r="K86" i="14"/>
  <c r="K72" i="14"/>
  <c r="K58" i="14"/>
  <c r="K44" i="14"/>
  <c r="K29" i="14"/>
  <c r="K14" i="14"/>
  <c r="K834" i="14"/>
  <c r="K812" i="14"/>
  <c r="K794" i="14"/>
  <c r="K777" i="14"/>
  <c r="K755" i="14"/>
  <c r="K738" i="14"/>
  <c r="K719" i="14"/>
  <c r="K698" i="14"/>
  <c r="K680" i="14"/>
  <c r="K662" i="14"/>
  <c r="K641" i="14"/>
  <c r="K623" i="14"/>
  <c r="K605" i="14"/>
  <c r="K584" i="14"/>
  <c r="K565" i="14"/>
  <c r="K548" i="14"/>
  <c r="K526" i="14"/>
  <c r="K509" i="14"/>
  <c r="K491" i="14"/>
  <c r="K469" i="14"/>
  <c r="K452" i="14"/>
  <c r="K433" i="14"/>
  <c r="K413" i="14"/>
  <c r="K394" i="14"/>
  <c r="K377" i="14"/>
  <c r="K355" i="14"/>
  <c r="K337" i="14"/>
  <c r="K320" i="14"/>
  <c r="K298" i="14"/>
  <c r="K281" i="14"/>
  <c r="K262" i="14"/>
  <c r="K241" i="14"/>
  <c r="K223" i="14"/>
  <c r="K205" i="14"/>
  <c r="K183" i="14"/>
  <c r="K166" i="14"/>
  <c r="K149" i="14"/>
  <c r="K127" i="14"/>
  <c r="K109" i="14"/>
  <c r="K91" i="14"/>
  <c r="K70" i="14"/>
  <c r="K51" i="14"/>
  <c r="K34" i="14"/>
  <c r="K12" i="14"/>
  <c r="K836" i="14"/>
  <c r="K816" i="14"/>
  <c r="K793" i="14"/>
  <c r="K773" i="14"/>
  <c r="K752" i="14"/>
  <c r="K732" i="14"/>
  <c r="K709" i="14"/>
  <c r="K691" i="14"/>
  <c r="K668" i="14"/>
  <c r="K649" i="14"/>
  <c r="K626" i="14"/>
  <c r="K608" i="14"/>
  <c r="K587" i="14"/>
  <c r="K564" i="14"/>
  <c r="K545" i="14"/>
  <c r="K523" i="14"/>
  <c r="K504" i="14"/>
  <c r="K481" i="14"/>
  <c r="K463" i="14"/>
  <c r="K440" i="14"/>
  <c r="K420" i="14"/>
  <c r="K398" i="14"/>
  <c r="K379" i="14"/>
  <c r="K359" i="14"/>
  <c r="K336" i="14"/>
  <c r="K315" i="14"/>
  <c r="K295" i="14"/>
  <c r="K275" i="14"/>
  <c r="K253" i="14"/>
  <c r="K234" i="14"/>
  <c r="K211" i="14"/>
  <c r="K192" i="14"/>
  <c r="K169" i="14"/>
  <c r="K151" i="14"/>
  <c r="K130" i="14"/>
  <c r="K107" i="14"/>
  <c r="K87" i="14"/>
  <c r="K66" i="14"/>
  <c r="K47" i="14"/>
  <c r="K24" i="14"/>
  <c r="K6" i="14"/>
  <c r="K840" i="14"/>
  <c r="K821" i="14"/>
  <c r="K797" i="14"/>
  <c r="K775" i="14"/>
  <c r="K751" i="14"/>
  <c r="K727" i="14"/>
  <c r="K706" i="14"/>
  <c r="K682" i="14"/>
  <c r="K661" i="14"/>
  <c r="K637" i="14"/>
  <c r="K615" i="14"/>
  <c r="K594" i="14"/>
  <c r="K570" i="14"/>
  <c r="K549" i="14"/>
  <c r="K524" i="14"/>
  <c r="K502" i="14"/>
  <c r="K479" i="14"/>
  <c r="K455" i="14"/>
  <c r="K434" i="14"/>
  <c r="K410" i="14"/>
  <c r="K390" i="14"/>
  <c r="K366" i="14"/>
  <c r="K345" i="14"/>
  <c r="K322" i="14"/>
  <c r="K297" i="14"/>
  <c r="K276" i="14"/>
  <c r="K251" i="14"/>
  <c r="K230" i="14"/>
  <c r="K207" i="14"/>
  <c r="K182" i="14"/>
  <c r="K163" i="14"/>
  <c r="K139" i="14"/>
  <c r="K118" i="14"/>
  <c r="K94" i="14"/>
  <c r="K73" i="14"/>
  <c r="K49" i="14"/>
  <c r="K25" i="14"/>
  <c r="K5" i="14"/>
  <c r="K823" i="14"/>
  <c r="K801" i="14"/>
  <c r="K779" i="14"/>
  <c r="K754" i="14"/>
  <c r="K733" i="14"/>
  <c r="K708" i="14"/>
  <c r="K687" i="14"/>
  <c r="K665" i="14"/>
  <c r="K639" i="14"/>
  <c r="K620" i="14"/>
  <c r="K596" i="14"/>
  <c r="K575" i="14"/>
  <c r="K551" i="14"/>
  <c r="K530" i="14"/>
  <c r="K506" i="14"/>
  <c r="K482" i="14"/>
  <c r="K461" i="14"/>
  <c r="K438" i="14"/>
  <c r="K416" i="14"/>
  <c r="K392" i="14"/>
  <c r="K368" i="14"/>
  <c r="K348" i="14"/>
  <c r="K324" i="14"/>
  <c r="K303" i="14"/>
  <c r="K279" i="14"/>
  <c r="K255" i="14"/>
  <c r="K235" i="14"/>
  <c r="K210" i="14"/>
  <c r="K190" i="14"/>
  <c r="K165" i="14"/>
  <c r="K141" i="14"/>
  <c r="K120" i="14"/>
  <c r="K97" i="14"/>
  <c r="K77" i="14"/>
  <c r="K53" i="14"/>
  <c r="K31" i="14"/>
  <c r="K8" i="14"/>
  <c r="K830" i="14"/>
  <c r="K805" i="14"/>
  <c r="K778" i="14"/>
  <c r="K747" i="14"/>
  <c r="K721" i="14"/>
  <c r="K694" i="14"/>
  <c r="K667" i="14"/>
  <c r="K638" i="14"/>
  <c r="K611" i="14"/>
  <c r="K583" i="14"/>
  <c r="K559" i="14"/>
  <c r="K534" i="14"/>
  <c r="K505" i="14"/>
  <c r="K477" i="14"/>
  <c r="K450" i="14"/>
  <c r="K423" i="14"/>
  <c r="K395" i="14"/>
  <c r="K367" i="14"/>
  <c r="K339" i="14"/>
  <c r="K311" i="14"/>
  <c r="K287" i="14"/>
  <c r="K261" i="14"/>
  <c r="K233" i="14"/>
  <c r="K204" i="14"/>
  <c r="K178" i="14"/>
  <c r="K152" i="14"/>
  <c r="K123" i="14"/>
  <c r="K96" i="14"/>
  <c r="K67" i="14"/>
  <c r="K39" i="14"/>
  <c r="K15" i="14"/>
  <c r="K826" i="14"/>
  <c r="K804" i="14"/>
  <c r="K769" i="14"/>
  <c r="K746" i="14"/>
  <c r="K720" i="14"/>
  <c r="K693" i="14"/>
  <c r="K666" i="14"/>
  <c r="K636" i="14"/>
  <c r="K610" i="14"/>
  <c r="K582" i="14"/>
  <c r="K555" i="14"/>
  <c r="K533" i="14"/>
  <c r="K498" i="14"/>
  <c r="K476" i="14"/>
  <c r="K447" i="14"/>
  <c r="K421" i="14"/>
  <c r="K393" i="14"/>
  <c r="K365" i="14"/>
  <c r="K338" i="14"/>
  <c r="K310" i="14"/>
  <c r="K284" i="14"/>
  <c r="K259" i="14"/>
  <c r="K227" i="14"/>
  <c r="K202" i="14"/>
  <c r="K177" i="14"/>
  <c r="K150" i="14"/>
  <c r="K122" i="14"/>
  <c r="K93" i="14"/>
  <c r="K65" i="14"/>
  <c r="K38" i="14"/>
  <c r="K11" i="14"/>
  <c r="K819" i="14"/>
  <c r="K791" i="14"/>
  <c r="K765" i="14"/>
  <c r="K739" i="14"/>
  <c r="K711" i="14"/>
  <c r="K681" i="14"/>
  <c r="K654" i="14"/>
  <c r="K630" i="14"/>
  <c r="K601" i="14"/>
  <c r="K576" i="14"/>
  <c r="K547" i="14"/>
  <c r="K519" i="14"/>
  <c r="K493" i="14"/>
  <c r="K466" i="14"/>
  <c r="K439" i="14"/>
  <c r="K408" i="14"/>
  <c r="K382" i="14"/>
  <c r="K354" i="14"/>
  <c r="K330" i="14"/>
  <c r="K306" i="14"/>
  <c r="K273" i="14"/>
  <c r="K248" i="14"/>
  <c r="K221" i="14"/>
  <c r="K194" i="14"/>
  <c r="K167" i="14"/>
  <c r="K138" i="14"/>
  <c r="K111" i="14"/>
  <c r="K83" i="14"/>
  <c r="K59" i="14"/>
  <c r="K33" i="14"/>
  <c r="K837" i="14"/>
  <c r="K809" i="14"/>
  <c r="K782" i="14"/>
  <c r="K758" i="14"/>
  <c r="K726" i="14"/>
  <c r="K702" i="14"/>
  <c r="K675" i="14"/>
  <c r="K648" i="14"/>
  <c r="K621" i="14"/>
  <c r="K591" i="14"/>
  <c r="K563" i="14"/>
  <c r="K537" i="14"/>
  <c r="K511" i="14"/>
  <c r="K483" i="14"/>
  <c r="K454" i="14"/>
  <c r="K427" i="14"/>
  <c r="K404" i="14"/>
  <c r="K375" i="14"/>
  <c r="K349" i="14"/>
  <c r="K321" i="14"/>
  <c r="K293" i="14"/>
  <c r="K266" i="14"/>
  <c r="K238" i="14"/>
  <c r="K212" i="14"/>
  <c r="K181" i="14"/>
  <c r="K155" i="14"/>
  <c r="K132" i="14"/>
  <c r="K104" i="14"/>
  <c r="K78" i="14"/>
  <c r="K48" i="14"/>
  <c r="K21" i="14"/>
  <c r="K835" i="14"/>
  <c r="K807" i="14"/>
  <c r="K781" i="14"/>
  <c r="K753" i="14"/>
  <c r="K725" i="14"/>
  <c r="K696" i="14"/>
  <c r="K673" i="14"/>
  <c r="K647" i="14"/>
  <c r="K618" i="14"/>
  <c r="K590" i="14"/>
  <c r="K562" i="14"/>
  <c r="K536" i="14"/>
  <c r="K510" i="14"/>
  <c r="K480" i="14"/>
  <c r="K453" i="14"/>
  <c r="K426" i="14"/>
  <c r="K402" i="14"/>
  <c r="K373" i="14"/>
  <c r="K347" i="14"/>
  <c r="K319" i="14"/>
  <c r="K290" i="14"/>
  <c r="K264" i="14"/>
  <c r="K237" i="14"/>
  <c r="K209" i="14"/>
  <c r="K180" i="14"/>
  <c r="K154" i="14"/>
  <c r="K126" i="14"/>
  <c r="K102" i="14"/>
  <c r="K75" i="14"/>
  <c r="K45" i="14"/>
  <c r="K20" i="14"/>
  <c r="K833" i="14"/>
  <c r="K806" i="14"/>
  <c r="K780" i="14"/>
  <c r="K749" i="14"/>
  <c r="K722" i="14"/>
  <c r="K695" i="14"/>
  <c r="K669" i="14"/>
  <c r="K644" i="14"/>
  <c r="K612" i="14"/>
  <c r="K589" i="14"/>
  <c r="K561" i="14"/>
  <c r="K535" i="14"/>
  <c r="K507" i="14"/>
  <c r="K478" i="14"/>
  <c r="K451" i="14"/>
  <c r="K425" i="14"/>
  <c r="K397" i="14"/>
  <c r="K369" i="14"/>
  <c r="K341" i="14"/>
  <c r="K312" i="14"/>
  <c r="K289" i="14"/>
  <c r="K263" i="14"/>
  <c r="K236" i="14"/>
  <c r="K206" i="14"/>
  <c r="K179" i="14"/>
  <c r="K153" i="14"/>
  <c r="K125" i="14"/>
  <c r="K98" i="14"/>
  <c r="K68" i="14"/>
  <c r="K41" i="14"/>
  <c r="K19" i="14"/>
  <c r="K822" i="14"/>
  <c r="K766" i="14"/>
  <c r="K713" i="14"/>
  <c r="K655" i="14"/>
  <c r="K603" i="14"/>
  <c r="K550" i="14"/>
  <c r="K494" i="14"/>
  <c r="K441" i="14"/>
  <c r="K384" i="14"/>
  <c r="K333" i="14"/>
  <c r="K277" i="14"/>
  <c r="K222" i="14"/>
  <c r="K168" i="14"/>
  <c r="K113" i="14"/>
  <c r="K61" i="14"/>
  <c r="K7" i="14"/>
  <c r="K818" i="14"/>
  <c r="K764" i="14"/>
  <c r="K707" i="14"/>
  <c r="K653" i="14"/>
  <c r="K598" i="14"/>
  <c r="K541" i="14"/>
  <c r="K492" i="14"/>
  <c r="K437" i="14"/>
  <c r="K381" i="14"/>
  <c r="K326" i="14"/>
  <c r="K270" i="14"/>
  <c r="K219" i="14"/>
  <c r="K164" i="14"/>
  <c r="K110" i="14"/>
  <c r="K55" i="14"/>
  <c r="K795" i="14"/>
  <c r="K741" i="14"/>
  <c r="K690" i="14"/>
  <c r="K634" i="14"/>
  <c r="K578" i="14"/>
  <c r="K522" i="14"/>
  <c r="K468" i="14"/>
  <c r="K418" i="14"/>
  <c r="K362" i="14"/>
  <c r="K308" i="14"/>
  <c r="K250" i="14"/>
  <c r="K197" i="14"/>
  <c r="K144" i="14"/>
  <c r="K90" i="14"/>
  <c r="K36" i="14"/>
  <c r="K839" i="14"/>
  <c r="K787" i="14"/>
  <c r="K734" i="14"/>
  <c r="K678" i="14"/>
  <c r="K624" i="14"/>
  <c r="K569" i="14"/>
  <c r="K516" i="14"/>
  <c r="K464" i="14"/>
  <c r="K406" i="14"/>
  <c r="K351" i="14"/>
  <c r="K296" i="14"/>
  <c r="K245" i="14"/>
  <c r="K191" i="14"/>
  <c r="K135" i="14"/>
  <c r="K80" i="14"/>
  <c r="K23" i="14"/>
  <c r="K838" i="14"/>
  <c r="K783" i="14"/>
  <c r="K730" i="14"/>
  <c r="K677" i="14"/>
  <c r="K622" i="14"/>
  <c r="K567" i="14"/>
  <c r="K512" i="14"/>
  <c r="K458" i="14"/>
  <c r="K405" i="14"/>
  <c r="K350" i="14"/>
  <c r="K294" i="14"/>
  <c r="K240" i="14"/>
  <c r="K188" i="14"/>
  <c r="K133" i="14"/>
  <c r="K79" i="14"/>
  <c r="K22" i="14"/>
  <c r="K825" i="14"/>
  <c r="K768" i="14"/>
  <c r="K718" i="14"/>
  <c r="K663" i="14"/>
  <c r="K609" i="14"/>
  <c r="K554" i="14"/>
  <c r="K497" i="14"/>
  <c r="K446" i="14"/>
  <c r="K391" i="14"/>
  <c r="K335" i="14"/>
  <c r="K283" i="14"/>
  <c r="K225" i="14"/>
  <c r="K176" i="14"/>
  <c r="K119" i="14"/>
  <c r="K63" i="14"/>
  <c r="K10" i="14"/>
  <c r="K824" i="14"/>
  <c r="K767" i="14"/>
  <c r="K716" i="14"/>
  <c r="K659" i="14"/>
  <c r="K607" i="14"/>
  <c r="K552" i="14"/>
  <c r="K495" i="14"/>
  <c r="K444" i="14"/>
  <c r="K387" i="14"/>
  <c r="K334" i="14"/>
  <c r="K282" i="14"/>
  <c r="K224" i="14"/>
  <c r="K173" i="14"/>
  <c r="K116" i="14"/>
  <c r="K62" i="14"/>
  <c r="K9" i="14"/>
  <c r="K704" i="14"/>
  <c r="K577" i="14"/>
  <c r="K432" i="14"/>
  <c r="K309" i="14"/>
  <c r="K193" i="14"/>
  <c r="K50" i="14"/>
  <c r="K811" i="14"/>
  <c r="K692" i="14"/>
  <c r="K573" i="14"/>
  <c r="K430" i="14"/>
  <c r="K307" i="14"/>
  <c r="K162" i="14"/>
  <c r="K37" i="14"/>
  <c r="K790" i="14"/>
  <c r="K650" i="14"/>
  <c r="K521" i="14"/>
  <c r="K380" i="14"/>
  <c r="K254" i="14"/>
  <c r="K137" i="14"/>
  <c r="K744" i="14"/>
  <c r="K625" i="14"/>
  <c r="K487" i="14"/>
  <c r="K361" i="14"/>
  <c r="K218" i="14"/>
  <c r="K92" i="14"/>
  <c r="K740" i="14"/>
  <c r="K597" i="14"/>
  <c r="K473" i="14"/>
  <c r="K353" i="14"/>
  <c r="K216" i="14"/>
  <c r="K84" i="14"/>
  <c r="K735" i="14"/>
  <c r="K595" i="14"/>
  <c r="K467" i="14"/>
  <c r="K325" i="14"/>
  <c r="K198" i="14"/>
  <c r="K81" i="14"/>
  <c r="K705" i="14"/>
  <c r="K581" i="14"/>
  <c r="K465" i="14"/>
  <c r="K323" i="14"/>
  <c r="K195" i="14"/>
  <c r="K54" i="14"/>
  <c r="K679" i="14"/>
  <c r="K378" i="14"/>
  <c r="K35" i="14"/>
  <c r="K635" i="14"/>
  <c r="K301" i="14"/>
  <c r="K633" i="14"/>
  <c r="K269" i="14"/>
  <c r="K539" i="14"/>
  <c r="K267" i="14"/>
  <c r="K798" i="14"/>
  <c r="K407" i="14"/>
  <c r="K792" i="14"/>
  <c r="K363" i="14"/>
  <c r="K762" i="14"/>
  <c r="K249" i="14"/>
  <c r="K651" i="14"/>
  <c r="K146" i="14"/>
  <c r="K525" i="14"/>
  <c r="K106" i="14"/>
  <c r="K518" i="14"/>
  <c r="K105" i="14"/>
  <c r="K490" i="14"/>
  <c r="K26" i="14"/>
  <c r="K419" i="14"/>
  <c r="K810" i="14"/>
  <c r="K411" i="14"/>
  <c r="K683" i="14"/>
  <c r="K538" i="14"/>
  <c r="K247" i="14"/>
  <c r="K158" i="14"/>
  <c r="K140" i="14"/>
  <c r="K761" i="14"/>
  <c r="I843" i="14"/>
  <c r="I831" i="14"/>
  <c r="I819" i="14"/>
  <c r="I807" i="14"/>
  <c r="I795" i="14"/>
  <c r="I783" i="14"/>
  <c r="I771" i="14"/>
  <c r="I759" i="14"/>
  <c r="I747" i="14"/>
  <c r="I735" i="14"/>
  <c r="I723" i="14"/>
  <c r="I711" i="14"/>
  <c r="I699" i="14"/>
  <c r="I687" i="14"/>
  <c r="I675" i="14"/>
  <c r="I663" i="14"/>
  <c r="I651" i="14"/>
  <c r="I639" i="14"/>
  <c r="I627" i="14"/>
  <c r="I615" i="14"/>
  <c r="I603" i="14"/>
  <c r="I591" i="14"/>
  <c r="I579" i="14"/>
  <c r="I567" i="14"/>
  <c r="I555" i="14"/>
  <c r="I543" i="14"/>
  <c r="I531" i="14"/>
  <c r="I519" i="14"/>
  <c r="I507" i="14"/>
  <c r="I495" i="14"/>
  <c r="I483" i="14"/>
  <c r="I471" i="14"/>
  <c r="I459" i="14"/>
  <c r="I447" i="14"/>
  <c r="I435" i="14"/>
  <c r="I423" i="14"/>
  <c r="I411" i="14"/>
  <c r="I399" i="14"/>
  <c r="I387" i="14"/>
  <c r="I375" i="14"/>
  <c r="I363" i="14"/>
  <c r="I351" i="14"/>
  <c r="I339" i="14"/>
  <c r="I327" i="14"/>
  <c r="I315" i="14"/>
  <c r="I303" i="14"/>
  <c r="I291" i="14"/>
  <c r="I279" i="14"/>
  <c r="I267" i="14"/>
  <c r="I255" i="14"/>
  <c r="I243" i="14"/>
  <c r="I231" i="14"/>
  <c r="I219" i="14"/>
  <c r="I207" i="14"/>
  <c r="I195" i="14"/>
  <c r="I183" i="14"/>
  <c r="I171" i="14"/>
  <c r="I159" i="14"/>
  <c r="I147" i="14"/>
  <c r="I830" i="14"/>
  <c r="I817" i="14"/>
  <c r="I804" i="14"/>
  <c r="I791" i="14"/>
  <c r="I778" i="14"/>
  <c r="I765" i="14"/>
  <c r="I752" i="14"/>
  <c r="I739" i="14"/>
  <c r="I726" i="14"/>
  <c r="I713" i="14"/>
  <c r="I700" i="14"/>
  <c r="I686" i="14"/>
  <c r="I673" i="14"/>
  <c r="I660" i="14"/>
  <c r="I647" i="14"/>
  <c r="I634" i="14"/>
  <c r="I621" i="14"/>
  <c r="I608" i="14"/>
  <c r="I595" i="14"/>
  <c r="I582" i="14"/>
  <c r="I569" i="14"/>
  <c r="I556" i="14"/>
  <c r="I542" i="14"/>
  <c r="I529" i="14"/>
  <c r="I516" i="14"/>
  <c r="I503" i="14"/>
  <c r="I490" i="14"/>
  <c r="I477" i="14"/>
  <c r="I464" i="14"/>
  <c r="I451" i="14"/>
  <c r="I438" i="14"/>
  <c r="I425" i="14"/>
  <c r="I412" i="14"/>
  <c r="I398" i="14"/>
  <c r="I385" i="14"/>
  <c r="I372" i="14"/>
  <c r="I359" i="14"/>
  <c r="I346" i="14"/>
  <c r="I333" i="14"/>
  <c r="I320" i="14"/>
  <c r="I307" i="14"/>
  <c r="I294" i="14"/>
  <c r="I281" i="14"/>
  <c r="I268" i="14"/>
  <c r="I254" i="14"/>
  <c r="I241" i="14"/>
  <c r="I228" i="14"/>
  <c r="I215" i="14"/>
  <c r="I202" i="14"/>
  <c r="I189" i="14"/>
  <c r="I176" i="14"/>
  <c r="I163" i="14"/>
  <c r="I150" i="14"/>
  <c r="I137" i="14"/>
  <c r="I125" i="14"/>
  <c r="I113" i="14"/>
  <c r="I101" i="14"/>
  <c r="I89" i="14"/>
  <c r="I77" i="14"/>
  <c r="I65" i="14"/>
  <c r="I53" i="14"/>
  <c r="I41" i="14"/>
  <c r="I29" i="14"/>
  <c r="I17" i="14"/>
  <c r="I5" i="14"/>
  <c r="I841" i="14"/>
  <c r="I827" i="14"/>
  <c r="I813" i="14"/>
  <c r="I837" i="14"/>
  <c r="I822" i="14"/>
  <c r="I806" i="14"/>
  <c r="I792" i="14"/>
  <c r="I777" i="14"/>
  <c r="I763" i="14"/>
  <c r="I749" i="14"/>
  <c r="I734" i="14"/>
  <c r="I720" i="14"/>
  <c r="I706" i="14"/>
  <c r="I692" i="14"/>
  <c r="I678" i="14"/>
  <c r="I664" i="14"/>
  <c r="I649" i="14"/>
  <c r="I635" i="14"/>
  <c r="I620" i="14"/>
  <c r="I606" i="14"/>
  <c r="I592" i="14"/>
  <c r="I577" i="14"/>
  <c r="I563" i="14"/>
  <c r="I549" i="14"/>
  <c r="I535" i="14"/>
  <c r="I521" i="14"/>
  <c r="I506" i="14"/>
  <c r="I492" i="14"/>
  <c r="I478" i="14"/>
  <c r="I463" i="14"/>
  <c r="I449" i="14"/>
  <c r="I434" i="14"/>
  <c r="I420" i="14"/>
  <c r="I406" i="14"/>
  <c r="I392" i="14"/>
  <c r="I378" i="14"/>
  <c r="I364" i="14"/>
  <c r="I349" i="14"/>
  <c r="I335" i="14"/>
  <c r="I321" i="14"/>
  <c r="I306" i="14"/>
  <c r="I292" i="14"/>
  <c r="I277" i="14"/>
  <c r="I263" i="14"/>
  <c r="I249" i="14"/>
  <c r="I235" i="14"/>
  <c r="I221" i="14"/>
  <c r="I206" i="14"/>
  <c r="I192" i="14"/>
  <c r="I178" i="14"/>
  <c r="I164" i="14"/>
  <c r="I149" i="14"/>
  <c r="I135" i="14"/>
  <c r="I122" i="14"/>
  <c r="I109" i="14"/>
  <c r="I96" i="14"/>
  <c r="I83" i="14"/>
  <c r="I70" i="14"/>
  <c r="I57" i="14"/>
  <c r="I44" i="14"/>
  <c r="I31" i="14"/>
  <c r="I18" i="14"/>
  <c r="I839" i="14"/>
  <c r="I824" i="14"/>
  <c r="I809" i="14"/>
  <c r="I794" i="14"/>
  <c r="I780" i="14"/>
  <c r="I766" i="14"/>
  <c r="I751" i="14"/>
  <c r="I737" i="14"/>
  <c r="I722" i="14"/>
  <c r="I708" i="14"/>
  <c r="I694" i="14"/>
  <c r="I829" i="14"/>
  <c r="I811" i="14"/>
  <c r="I793" i="14"/>
  <c r="I775" i="14"/>
  <c r="I758" i="14"/>
  <c r="I742" i="14"/>
  <c r="I725" i="14"/>
  <c r="I707" i="14"/>
  <c r="I690" i="14"/>
  <c r="I674" i="14"/>
  <c r="I658" i="14"/>
  <c r="I643" i="14"/>
  <c r="I628" i="14"/>
  <c r="I612" i="14"/>
  <c r="I597" i="14"/>
  <c r="I581" i="14"/>
  <c r="I565" i="14"/>
  <c r="I550" i="14"/>
  <c r="I534" i="14"/>
  <c r="I518" i="14"/>
  <c r="I502" i="14"/>
  <c r="I487" i="14"/>
  <c r="I472" i="14"/>
  <c r="I456" i="14"/>
  <c r="I441" i="14"/>
  <c r="I426" i="14"/>
  <c r="I409" i="14"/>
  <c r="I394" i="14"/>
  <c r="I379" i="14"/>
  <c r="I362" i="14"/>
  <c r="I347" i="14"/>
  <c r="I331" i="14"/>
  <c r="I316" i="14"/>
  <c r="I300" i="14"/>
  <c r="I285" i="14"/>
  <c r="I270" i="14"/>
  <c r="I253" i="14"/>
  <c r="I238" i="14"/>
  <c r="I223" i="14"/>
  <c r="I208" i="14"/>
  <c r="I191" i="14"/>
  <c r="I175" i="14"/>
  <c r="I160" i="14"/>
  <c r="I144" i="14"/>
  <c r="I130" i="14"/>
  <c r="I116" i="14"/>
  <c r="I102" i="14"/>
  <c r="I87" i="14"/>
  <c r="I73" i="14"/>
  <c r="I59" i="14"/>
  <c r="I45" i="14"/>
  <c r="I30" i="14"/>
  <c r="I15" i="14"/>
  <c r="I828" i="14"/>
  <c r="I810" i="14"/>
  <c r="I790" i="14"/>
  <c r="I774" i="14"/>
  <c r="I757" i="14"/>
  <c r="I741" i="14"/>
  <c r="I724" i="14"/>
  <c r="I705" i="14"/>
  <c r="I689" i="14"/>
  <c r="I672" i="14"/>
  <c r="I657" i="14"/>
  <c r="I642" i="14"/>
  <c r="I626" i="14"/>
  <c r="I611" i="14"/>
  <c r="I596" i="14"/>
  <c r="I580" i="14"/>
  <c r="I564" i="14"/>
  <c r="I548" i="14"/>
  <c r="I533" i="14"/>
  <c r="I517" i="14"/>
  <c r="I501" i="14"/>
  <c r="I486" i="14"/>
  <c r="I470" i="14"/>
  <c r="I455" i="14"/>
  <c r="I440" i="14"/>
  <c r="I424" i="14"/>
  <c r="I408" i="14"/>
  <c r="I393" i="14"/>
  <c r="I377" i="14"/>
  <c r="I361" i="14"/>
  <c r="I345" i="14"/>
  <c r="I330" i="14"/>
  <c r="I314" i="14"/>
  <c r="I299" i="14"/>
  <c r="I284" i="14"/>
  <c r="I269" i="14"/>
  <c r="I252" i="14"/>
  <c r="I237" i="14"/>
  <c r="I222" i="14"/>
  <c r="I205" i="14"/>
  <c r="I190" i="14"/>
  <c r="I174" i="14"/>
  <c r="I158" i="14"/>
  <c r="I143" i="14"/>
  <c r="I129" i="14"/>
  <c r="I115" i="14"/>
  <c r="I100" i="14"/>
  <c r="I86" i="14"/>
  <c r="I72" i="14"/>
  <c r="I58" i="14"/>
  <c r="I43" i="14"/>
  <c r="I28" i="14"/>
  <c r="I14" i="14"/>
  <c r="I840" i="14"/>
  <c r="I821" i="14"/>
  <c r="I802" i="14"/>
  <c r="I786" i="14"/>
  <c r="I769" i="14"/>
  <c r="I753" i="14"/>
  <c r="I733" i="14"/>
  <c r="I717" i="14"/>
  <c r="I701" i="14"/>
  <c r="I683" i="14"/>
  <c r="I668" i="14"/>
  <c r="I653" i="14"/>
  <c r="I637" i="14"/>
  <c r="I622" i="14"/>
  <c r="I605" i="14"/>
  <c r="I589" i="14"/>
  <c r="I574" i="14"/>
  <c r="I559" i="14"/>
  <c r="I544" i="14"/>
  <c r="I527" i="14"/>
  <c r="I512" i="14"/>
  <c r="I497" i="14"/>
  <c r="I481" i="14"/>
  <c r="I466" i="14"/>
  <c r="I450" i="14"/>
  <c r="I433" i="14"/>
  <c r="I418" i="14"/>
  <c r="I403" i="14"/>
  <c r="I388" i="14"/>
  <c r="I371" i="14"/>
  <c r="I356" i="14"/>
  <c r="I341" i="14"/>
  <c r="I325" i="14"/>
  <c r="I310" i="14"/>
  <c r="I295" i="14"/>
  <c r="I278" i="14"/>
  <c r="I262" i="14"/>
  <c r="I247" i="14"/>
  <c r="I232" i="14"/>
  <c r="I216" i="14"/>
  <c r="I200" i="14"/>
  <c r="I185" i="14"/>
  <c r="I169" i="14"/>
  <c r="I154" i="14"/>
  <c r="I139" i="14"/>
  <c r="I124" i="14"/>
  <c r="I110" i="14"/>
  <c r="I95" i="14"/>
  <c r="I81" i="14"/>
  <c r="I67" i="14"/>
  <c r="I52" i="14"/>
  <c r="I38" i="14"/>
  <c r="I24" i="14"/>
  <c r="I10" i="14"/>
  <c r="I834" i="14"/>
  <c r="I815" i="14"/>
  <c r="I798" i="14"/>
  <c r="I781" i="14"/>
  <c r="I762" i="14"/>
  <c r="I745" i="14"/>
  <c r="I729" i="14"/>
  <c r="I712" i="14"/>
  <c r="I695" i="14"/>
  <c r="I679" i="14"/>
  <c r="I662" i="14"/>
  <c r="I646" i="14"/>
  <c r="I631" i="14"/>
  <c r="I616" i="14"/>
  <c r="I600" i="14"/>
  <c r="I585" i="14"/>
  <c r="I570" i="14"/>
  <c r="I553" i="14"/>
  <c r="I538" i="14"/>
  <c r="I523" i="14"/>
  <c r="I508" i="14"/>
  <c r="I491" i="14"/>
  <c r="I475" i="14"/>
  <c r="I460" i="14"/>
  <c r="I444" i="14"/>
  <c r="I429" i="14"/>
  <c r="I414" i="14"/>
  <c r="I397" i="14"/>
  <c r="I382" i="14"/>
  <c r="I367" i="14"/>
  <c r="I352" i="14"/>
  <c r="I336" i="14"/>
  <c r="I319" i="14"/>
  <c r="I304" i="14"/>
  <c r="I288" i="14"/>
  <c r="I273" i="14"/>
  <c r="I258" i="14"/>
  <c r="I242" i="14"/>
  <c r="I226" i="14"/>
  <c r="I211" i="14"/>
  <c r="I196" i="14"/>
  <c r="I180" i="14"/>
  <c r="I165" i="14"/>
  <c r="I148" i="14"/>
  <c r="I133" i="14"/>
  <c r="I119" i="14"/>
  <c r="I105" i="14"/>
  <c r="I91" i="14"/>
  <c r="I76" i="14"/>
  <c r="I62" i="14"/>
  <c r="I48" i="14"/>
  <c r="I34" i="14"/>
  <c r="I20" i="14"/>
  <c r="I6" i="14"/>
  <c r="I833" i="14"/>
  <c r="I814" i="14"/>
  <c r="I797" i="14"/>
  <c r="I779" i="14"/>
  <c r="I761" i="14"/>
  <c r="I744" i="14"/>
  <c r="I728" i="14"/>
  <c r="I710" i="14"/>
  <c r="I693" i="14"/>
  <c r="I677" i="14"/>
  <c r="I661" i="14"/>
  <c r="I645" i="14"/>
  <c r="I630" i="14"/>
  <c r="I614" i="14"/>
  <c r="I599" i="14"/>
  <c r="I584" i="14"/>
  <c r="I568" i="14"/>
  <c r="I552" i="14"/>
  <c r="I537" i="14"/>
  <c r="I522" i="14"/>
  <c r="I505" i="14"/>
  <c r="I489" i="14"/>
  <c r="I474" i="14"/>
  <c r="I458" i="14"/>
  <c r="I443" i="14"/>
  <c r="I428" i="14"/>
  <c r="I413" i="14"/>
  <c r="I396" i="14"/>
  <c r="I381" i="14"/>
  <c r="I366" i="14"/>
  <c r="I350" i="14"/>
  <c r="I334" i="14"/>
  <c r="I318" i="14"/>
  <c r="I302" i="14"/>
  <c r="I287" i="14"/>
  <c r="I272" i="14"/>
  <c r="I257" i="14"/>
  <c r="I240" i="14"/>
  <c r="I225" i="14"/>
  <c r="I210" i="14"/>
  <c r="I194" i="14"/>
  <c r="I179" i="14"/>
  <c r="I162" i="14"/>
  <c r="I146" i="14"/>
  <c r="I132" i="14"/>
  <c r="I118" i="14"/>
  <c r="I104" i="14"/>
  <c r="I90" i="14"/>
  <c r="I75" i="14"/>
  <c r="I832" i="14"/>
  <c r="I812" i="14"/>
  <c r="I796" i="14"/>
  <c r="I776" i="14"/>
  <c r="I760" i="14"/>
  <c r="I743" i="14"/>
  <c r="I727" i="14"/>
  <c r="I709" i="14"/>
  <c r="I691" i="14"/>
  <c r="I676" i="14"/>
  <c r="I659" i="14"/>
  <c r="I644" i="14"/>
  <c r="I629" i="14"/>
  <c r="I613" i="14"/>
  <c r="I598" i="14"/>
  <c r="I583" i="14"/>
  <c r="I566" i="14"/>
  <c r="I551" i="14"/>
  <c r="I536" i="14"/>
  <c r="I520" i="14"/>
  <c r="I504" i="14"/>
  <c r="I488" i="14"/>
  <c r="I473" i="14"/>
  <c r="I457" i="14"/>
  <c r="I442" i="14"/>
  <c r="I427" i="14"/>
  <c r="I410" i="14"/>
  <c r="I395" i="14"/>
  <c r="I380" i="14"/>
  <c r="I365" i="14"/>
  <c r="I348" i="14"/>
  <c r="I332" i="14"/>
  <c r="I317" i="14"/>
  <c r="I301" i="14"/>
  <c r="I286" i="14"/>
  <c r="I271" i="14"/>
  <c r="I256" i="14"/>
  <c r="I239" i="14"/>
  <c r="I224" i="14"/>
  <c r="I209" i="14"/>
  <c r="I193" i="14"/>
  <c r="I177" i="14"/>
  <c r="I161" i="14"/>
  <c r="I145" i="14"/>
  <c r="I131" i="14"/>
  <c r="I117" i="14"/>
  <c r="I103" i="14"/>
  <c r="I88" i="14"/>
  <c r="I74" i="14"/>
  <c r="I60" i="14"/>
  <c r="I46" i="14"/>
  <c r="I32" i="14"/>
  <c r="I16" i="14"/>
  <c r="I823" i="14"/>
  <c r="I787" i="14"/>
  <c r="I754" i="14"/>
  <c r="I718" i="14"/>
  <c r="I684" i="14"/>
  <c r="I654" i="14"/>
  <c r="I623" i="14"/>
  <c r="I590" i="14"/>
  <c r="I560" i="14"/>
  <c r="I528" i="14"/>
  <c r="I498" i="14"/>
  <c r="I467" i="14"/>
  <c r="I436" i="14"/>
  <c r="I404" i="14"/>
  <c r="I373" i="14"/>
  <c r="I342" i="14"/>
  <c r="I311" i="14"/>
  <c r="I280" i="14"/>
  <c r="I248" i="14"/>
  <c r="I217" i="14"/>
  <c r="I186" i="14"/>
  <c r="I155" i="14"/>
  <c r="I126" i="14"/>
  <c r="I97" i="14"/>
  <c r="I68" i="14"/>
  <c r="I42" i="14"/>
  <c r="I21" i="14"/>
  <c r="I820" i="14"/>
  <c r="I785" i="14"/>
  <c r="I750" i="14"/>
  <c r="I716" i="14"/>
  <c r="I682" i="14"/>
  <c r="I652" i="14"/>
  <c r="I619" i="14"/>
  <c r="I588" i="14"/>
  <c r="I558" i="14"/>
  <c r="I526" i="14"/>
  <c r="I496" i="14"/>
  <c r="I465" i="14"/>
  <c r="I432" i="14"/>
  <c r="I402" i="14"/>
  <c r="I370" i="14"/>
  <c r="I340" i="14"/>
  <c r="I309" i="14"/>
  <c r="I276" i="14"/>
  <c r="I246" i="14"/>
  <c r="I214" i="14"/>
  <c r="I184" i="14"/>
  <c r="I153" i="14"/>
  <c r="I123" i="14"/>
  <c r="I94" i="14"/>
  <c r="I66" i="14"/>
  <c r="I40" i="14"/>
  <c r="I19" i="14"/>
  <c r="I805" i="14"/>
  <c r="I772" i="14"/>
  <c r="I738" i="14"/>
  <c r="I703" i="14"/>
  <c r="I670" i="14"/>
  <c r="I640" i="14"/>
  <c r="I609" i="14"/>
  <c r="I576" i="14"/>
  <c r="I546" i="14"/>
  <c r="I514" i="14"/>
  <c r="I484" i="14"/>
  <c r="I453" i="14"/>
  <c r="I421" i="14"/>
  <c r="I390" i="14"/>
  <c r="I358" i="14"/>
  <c r="I328" i="14"/>
  <c r="I297" i="14"/>
  <c r="I265" i="14"/>
  <c r="I234" i="14"/>
  <c r="I203" i="14"/>
  <c r="I172" i="14"/>
  <c r="I141" i="14"/>
  <c r="I112" i="14"/>
  <c r="I84" i="14"/>
  <c r="I56" i="14"/>
  <c r="I835" i="14"/>
  <c r="I799" i="14"/>
  <c r="I764" i="14"/>
  <c r="I730" i="14"/>
  <c r="I696" i="14"/>
  <c r="I665" i="14"/>
  <c r="I632" i="14"/>
  <c r="I601" i="14"/>
  <c r="I571" i="14"/>
  <c r="I539" i="14"/>
  <c r="I509" i="14"/>
  <c r="I476" i="14"/>
  <c r="I445" i="14"/>
  <c r="I415" i="14"/>
  <c r="I383" i="14"/>
  <c r="I353" i="14"/>
  <c r="I322" i="14"/>
  <c r="I289" i="14"/>
  <c r="I259" i="14"/>
  <c r="I227" i="14"/>
  <c r="I197" i="14"/>
  <c r="I166" i="14"/>
  <c r="I134" i="14"/>
  <c r="I106" i="14"/>
  <c r="I78" i="14"/>
  <c r="I50" i="14"/>
  <c r="I25" i="14"/>
  <c r="I826" i="14"/>
  <c r="I789" i="14"/>
  <c r="I756" i="14"/>
  <c r="I721" i="14"/>
  <c r="I688" i="14"/>
  <c r="I656" i="14"/>
  <c r="I625" i="14"/>
  <c r="I594" i="14"/>
  <c r="I562" i="14"/>
  <c r="I532" i="14"/>
  <c r="I500" i="14"/>
  <c r="I469" i="14"/>
  <c r="I439" i="14"/>
  <c r="I407" i="14"/>
  <c r="I376" i="14"/>
  <c r="I344" i="14"/>
  <c r="I313" i="14"/>
  <c r="I283" i="14"/>
  <c r="I251" i="14"/>
  <c r="I220" i="14"/>
  <c r="I188" i="14"/>
  <c r="I157" i="14"/>
  <c r="I128" i="14"/>
  <c r="I99" i="14"/>
  <c r="I71" i="14"/>
  <c r="I49" i="14"/>
  <c r="I23" i="14"/>
  <c r="I818" i="14"/>
  <c r="I767" i="14"/>
  <c r="I702" i="14"/>
  <c r="I648" i="14"/>
  <c r="I593" i="14"/>
  <c r="I541" i="14"/>
  <c r="I485" i="14"/>
  <c r="I431" i="14"/>
  <c r="I384" i="14"/>
  <c r="I326" i="14"/>
  <c r="I274" i="14"/>
  <c r="I218" i="14"/>
  <c r="I168" i="14"/>
  <c r="I114" i="14"/>
  <c r="I64" i="14"/>
  <c r="I27" i="14"/>
  <c r="I816" i="14"/>
  <c r="I755" i="14"/>
  <c r="I698" i="14"/>
  <c r="I641" i="14"/>
  <c r="I587" i="14"/>
  <c r="I540" i="14"/>
  <c r="I482" i="14"/>
  <c r="I430" i="14"/>
  <c r="I374" i="14"/>
  <c r="I324" i="14"/>
  <c r="I266" i="14"/>
  <c r="I213" i="14"/>
  <c r="I167" i="14"/>
  <c r="I111" i="14"/>
  <c r="I63" i="14"/>
  <c r="I26" i="14"/>
  <c r="I800" i="14"/>
  <c r="I736" i="14"/>
  <c r="I680" i="14"/>
  <c r="I624" i="14"/>
  <c r="I573" i="14"/>
  <c r="I515" i="14"/>
  <c r="I462" i="14"/>
  <c r="I416" i="14"/>
  <c r="I357" i="14"/>
  <c r="I305" i="14"/>
  <c r="I250" i="14"/>
  <c r="I199" i="14"/>
  <c r="I142" i="14"/>
  <c r="I93" i="14"/>
  <c r="I51" i="14"/>
  <c r="I11" i="14"/>
  <c r="I842" i="14"/>
  <c r="I782" i="14"/>
  <c r="I719" i="14"/>
  <c r="I667" i="14"/>
  <c r="I610" i="14"/>
  <c r="I557" i="14"/>
  <c r="I510" i="14"/>
  <c r="I452" i="14"/>
  <c r="I400" i="14"/>
  <c r="I343" i="14"/>
  <c r="I293" i="14"/>
  <c r="I236" i="14"/>
  <c r="I182" i="14"/>
  <c r="I136" i="14"/>
  <c r="I82" i="14"/>
  <c r="I37" i="14"/>
  <c r="I7" i="14"/>
  <c r="I838" i="14"/>
  <c r="I773" i="14"/>
  <c r="I715" i="14"/>
  <c r="I666" i="14"/>
  <c r="I607" i="14"/>
  <c r="I554" i="14"/>
  <c r="I499" i="14"/>
  <c r="I448" i="14"/>
  <c r="I391" i="14"/>
  <c r="I338" i="14"/>
  <c r="I290" i="14"/>
  <c r="I233" i="14"/>
  <c r="I181" i="14"/>
  <c r="I127" i="14"/>
  <c r="I80" i="14"/>
  <c r="I36" i="14"/>
  <c r="I4" i="14"/>
  <c r="I836" i="14"/>
  <c r="I770" i="14"/>
  <c r="I714" i="14"/>
  <c r="I655" i="14"/>
  <c r="I604" i="14"/>
  <c r="I547" i="14"/>
  <c r="I494" i="14"/>
  <c r="I446" i="14"/>
  <c r="I389" i="14"/>
  <c r="I337" i="14"/>
  <c r="I282" i="14"/>
  <c r="I230" i="14"/>
  <c r="I173" i="14"/>
  <c r="I121" i="14"/>
  <c r="I79" i="14"/>
  <c r="I35" i="14"/>
  <c r="I825" i="14"/>
  <c r="I768" i="14"/>
  <c r="I704" i="14"/>
  <c r="I650" i="14"/>
  <c r="I602" i="14"/>
  <c r="I545" i="14"/>
  <c r="I493" i="14"/>
  <c r="I437" i="14"/>
  <c r="I386" i="14"/>
  <c r="I329" i="14"/>
  <c r="I275" i="14"/>
  <c r="I229" i="14"/>
  <c r="I170" i="14"/>
  <c r="I120" i="14"/>
  <c r="I69" i="14"/>
  <c r="I33" i="14"/>
  <c r="I697" i="14"/>
  <c r="I575" i="14"/>
  <c r="I454" i="14"/>
  <c r="I312" i="14"/>
  <c r="I198" i="14"/>
  <c r="I61" i="14"/>
  <c r="I808" i="14"/>
  <c r="I681" i="14"/>
  <c r="I561" i="14"/>
  <c r="I419" i="14"/>
  <c r="I298" i="14"/>
  <c r="I156" i="14"/>
  <c r="I54" i="14"/>
  <c r="I803" i="14"/>
  <c r="I671" i="14"/>
  <c r="I530" i="14"/>
  <c r="I417" i="14"/>
  <c r="I296" i="14"/>
  <c r="I152" i="14"/>
  <c r="I47" i="14"/>
  <c r="I801" i="14"/>
  <c r="I669" i="14"/>
  <c r="I525" i="14"/>
  <c r="I405" i="14"/>
  <c r="I264" i="14"/>
  <c r="I151" i="14"/>
  <c r="I39" i="14"/>
  <c r="I731" i="14"/>
  <c r="I511" i="14"/>
  <c r="I323" i="14"/>
  <c r="I108" i="14"/>
  <c r="I685" i="14"/>
  <c r="I480" i="14"/>
  <c r="I308" i="14"/>
  <c r="I107" i="14"/>
  <c r="I638" i="14"/>
  <c r="I479" i="14"/>
  <c r="I261" i="14"/>
  <c r="I98" i="14"/>
  <c r="I618" i="14"/>
  <c r="I422" i="14"/>
  <c r="I244" i="14"/>
  <c r="I55" i="14"/>
  <c r="I784" i="14"/>
  <c r="I586" i="14"/>
  <c r="I369" i="14"/>
  <c r="I204" i="14"/>
  <c r="I13" i="14"/>
  <c r="I748" i="14"/>
  <c r="I578" i="14"/>
  <c r="I368" i="14"/>
  <c r="I201" i="14"/>
  <c r="I12" i="14"/>
  <c r="I746" i="14"/>
  <c r="I572" i="14"/>
  <c r="I360" i="14"/>
  <c r="I187" i="14"/>
  <c r="I9" i="14"/>
  <c r="I740" i="14"/>
  <c r="I524" i="14"/>
  <c r="I355" i="14"/>
  <c r="I140" i="14"/>
  <c r="I8" i="14"/>
  <c r="I732" i="14"/>
  <c r="I513" i="14"/>
  <c r="I354" i="14"/>
  <c r="I138" i="14"/>
  <c r="I468" i="14"/>
  <c r="I461" i="14"/>
  <c r="I401" i="14"/>
  <c r="I260" i="14"/>
  <c r="I245" i="14"/>
  <c r="I212" i="14"/>
  <c r="I85" i="14"/>
  <c r="I788" i="14"/>
  <c r="I22" i="14"/>
  <c r="I636" i="14"/>
  <c r="I633" i="14"/>
  <c r="I617" i="14"/>
  <c r="I92" i="14"/>
  <c r="M3" i="14" l="1"/>
  <c r="I3" i="14"/>
  <c r="E3" i="14"/>
  <c r="D4" i="14" a="1"/>
  <c r="K3" i="14"/>
  <c r="G3" i="14"/>
  <c r="D3" i="14" l="1"/>
  <c r="D837" i="14"/>
  <c r="D825" i="14"/>
  <c r="D813" i="14"/>
  <c r="D801" i="14"/>
  <c r="D789" i="14"/>
  <c r="D777" i="14"/>
  <c r="D765" i="14"/>
  <c r="D753" i="14"/>
  <c r="D741" i="14"/>
  <c r="D729" i="14"/>
  <c r="D717" i="14"/>
  <c r="D705" i="14"/>
  <c r="D693" i="14"/>
  <c r="D681" i="14"/>
  <c r="D669" i="14"/>
  <c r="D657" i="14"/>
  <c r="D645" i="14"/>
  <c r="D633" i="14"/>
  <c r="D834" i="14"/>
  <c r="D821" i="14"/>
  <c r="D808" i="14"/>
  <c r="D795" i="14"/>
  <c r="D782" i="14"/>
  <c r="D769" i="14"/>
  <c r="D756" i="14"/>
  <c r="D743" i="14"/>
  <c r="D730" i="14"/>
  <c r="D716" i="14"/>
  <c r="D703" i="14"/>
  <c r="D690" i="14"/>
  <c r="D677" i="14"/>
  <c r="D664" i="14"/>
  <c r="D651" i="14"/>
  <c r="D638" i="14"/>
  <c r="D625" i="14"/>
  <c r="D613" i="14"/>
  <c r="D601" i="14"/>
  <c r="D589" i="14"/>
  <c r="D577" i="14"/>
  <c r="D565" i="14"/>
  <c r="D553" i="14"/>
  <c r="D541" i="14"/>
  <c r="D529" i="14"/>
  <c r="D517" i="14"/>
  <c r="D505" i="14"/>
  <c r="D493" i="14"/>
  <c r="D481" i="14"/>
  <c r="D469" i="14"/>
  <c r="D457" i="14"/>
  <c r="D445" i="14"/>
  <c r="D433" i="14"/>
  <c r="D830" i="14"/>
  <c r="D816" i="14"/>
  <c r="D802" i="14"/>
  <c r="D787" i="14"/>
  <c r="D773" i="14"/>
  <c r="D759" i="14"/>
  <c r="D745" i="14"/>
  <c r="D731" i="14"/>
  <c r="D715" i="14"/>
  <c r="D701" i="14"/>
  <c r="D687" i="14"/>
  <c r="D673" i="14"/>
  <c r="D659" i="14"/>
  <c r="D644" i="14"/>
  <c r="D630" i="14"/>
  <c r="D617" i="14"/>
  <c r="D604" i="14"/>
  <c r="D591" i="14"/>
  <c r="D578" i="14"/>
  <c r="D564" i="14"/>
  <c r="D551" i="14"/>
  <c r="D538" i="14"/>
  <c r="D525" i="14"/>
  <c r="D512" i="14"/>
  <c r="D499" i="14"/>
  <c r="D486" i="14"/>
  <c r="D473" i="14"/>
  <c r="D460" i="14"/>
  <c r="D447" i="14"/>
  <c r="D434" i="14"/>
  <c r="D421" i="14"/>
  <c r="D409" i="14"/>
  <c r="D397" i="14"/>
  <c r="D385" i="14"/>
  <c r="D373" i="14"/>
  <c r="D361" i="14"/>
  <c r="D349" i="14"/>
  <c r="D337" i="14"/>
  <c r="D325" i="14"/>
  <c r="D313" i="14"/>
  <c r="D301" i="14"/>
  <c r="D289" i="14"/>
  <c r="D277" i="14"/>
  <c r="D265" i="14"/>
  <c r="D253" i="14"/>
  <c r="D241" i="14"/>
  <c r="D229" i="14"/>
  <c r="D217" i="14"/>
  <c r="D205" i="14"/>
  <c r="D193" i="14"/>
  <c r="D181" i="14"/>
  <c r="D169" i="14"/>
  <c r="D157" i="14"/>
  <c r="D145" i="14"/>
  <c r="D133" i="14"/>
  <c r="D121" i="14"/>
  <c r="D109" i="14"/>
  <c r="D97" i="14"/>
  <c r="D85" i="14"/>
  <c r="D73" i="14"/>
  <c r="D61" i="14"/>
  <c r="D843" i="14"/>
  <c r="D829" i="14"/>
  <c r="D815" i="14"/>
  <c r="D800" i="14"/>
  <c r="D786" i="14"/>
  <c r="D772" i="14"/>
  <c r="D758" i="14"/>
  <c r="D744" i="14"/>
  <c r="D728" i="14"/>
  <c r="D714" i="14"/>
  <c r="D700" i="14"/>
  <c r="D686" i="14"/>
  <c r="D672" i="14"/>
  <c r="D658" i="14"/>
  <c r="D842" i="14"/>
  <c r="D828" i="14"/>
  <c r="D814" i="14"/>
  <c r="D799" i="14"/>
  <c r="D785" i="14"/>
  <c r="D771" i="14"/>
  <c r="D757" i="14"/>
  <c r="D742" i="14"/>
  <c r="D727" i="14"/>
  <c r="D713" i="14"/>
  <c r="D699" i="14"/>
  <c r="D685" i="14"/>
  <c r="D671" i="14"/>
  <c r="D656" i="14"/>
  <c r="D827" i="14"/>
  <c r="D809" i="14"/>
  <c r="D791" i="14"/>
  <c r="D770" i="14"/>
  <c r="D751" i="14"/>
  <c r="D734" i="14"/>
  <c r="D712" i="14"/>
  <c r="D695" i="14"/>
  <c r="D676" i="14"/>
  <c r="D655" i="14"/>
  <c r="D640" i="14"/>
  <c r="D624" i="14"/>
  <c r="D610" i="14"/>
  <c r="D596" i="14"/>
  <c r="D582" i="14"/>
  <c r="D568" i="14"/>
  <c r="D554" i="14"/>
  <c r="D539" i="14"/>
  <c r="D524" i="14"/>
  <c r="D510" i="14"/>
  <c r="D496" i="14"/>
  <c r="D482" i="14"/>
  <c r="D467" i="14"/>
  <c r="D453" i="14"/>
  <c r="D439" i="14"/>
  <c r="D425" i="14"/>
  <c r="D412" i="14"/>
  <c r="D399" i="14"/>
  <c r="D386" i="14"/>
  <c r="D372" i="14"/>
  <c r="D359" i="14"/>
  <c r="D346" i="14"/>
  <c r="D333" i="14"/>
  <c r="D320" i="14"/>
  <c r="D307" i="14"/>
  <c r="D294" i="14"/>
  <c r="D281" i="14"/>
  <c r="D268" i="14"/>
  <c r="D255" i="14"/>
  <c r="D242" i="14"/>
  <c r="D228" i="14"/>
  <c r="D215" i="14"/>
  <c r="D831" i="14"/>
  <c r="D807" i="14"/>
  <c r="D788" i="14"/>
  <c r="D766" i="14"/>
  <c r="D747" i="14"/>
  <c r="D724" i="14"/>
  <c r="D706" i="14"/>
  <c r="D683" i="14"/>
  <c r="D663" i="14"/>
  <c r="D643" i="14"/>
  <c r="D627" i="14"/>
  <c r="D611" i="14"/>
  <c r="D595" i="14"/>
  <c r="D580" i="14"/>
  <c r="D563" i="14"/>
  <c r="D548" i="14"/>
  <c r="D533" i="14"/>
  <c r="D518" i="14"/>
  <c r="D502" i="14"/>
  <c r="D487" i="14"/>
  <c r="D471" i="14"/>
  <c r="D455" i="14"/>
  <c r="D440" i="14"/>
  <c r="D424" i="14"/>
  <c r="D410" i="14"/>
  <c r="D395" i="14"/>
  <c r="D381" i="14"/>
  <c r="D367" i="14"/>
  <c r="D353" i="14"/>
  <c r="D339" i="14"/>
  <c r="D324" i="14"/>
  <c r="D310" i="14"/>
  <c r="D296" i="14"/>
  <c r="D282" i="14"/>
  <c r="D267" i="14"/>
  <c r="D252" i="14"/>
  <c r="D238" i="14"/>
  <c r="D224" i="14"/>
  <c r="D210" i="14"/>
  <c r="D197" i="14"/>
  <c r="D184" i="14"/>
  <c r="D171" i="14"/>
  <c r="D158" i="14"/>
  <c r="D144" i="14"/>
  <c r="D131" i="14"/>
  <c r="D118" i="14"/>
  <c r="D105" i="14"/>
  <c r="D92" i="14"/>
  <c r="D79" i="14"/>
  <c r="D66" i="14"/>
  <c r="D53" i="14"/>
  <c r="D41" i="14"/>
  <c r="D29" i="14"/>
  <c r="D17" i="14"/>
  <c r="D5" i="14"/>
  <c r="D826" i="14"/>
  <c r="D806" i="14"/>
  <c r="D784" i="14"/>
  <c r="D764" i="14"/>
  <c r="D746" i="14"/>
  <c r="D723" i="14"/>
  <c r="D704" i="14"/>
  <c r="D682" i="14"/>
  <c r="D662" i="14"/>
  <c r="D642" i="14"/>
  <c r="D626" i="14"/>
  <c r="D609" i="14"/>
  <c r="D594" i="14"/>
  <c r="D579" i="14"/>
  <c r="D562" i="14"/>
  <c r="D547" i="14"/>
  <c r="D532" i="14"/>
  <c r="D516" i="14"/>
  <c r="D501" i="14"/>
  <c r="D485" i="14"/>
  <c r="D470" i="14"/>
  <c r="D454" i="14"/>
  <c r="D438" i="14"/>
  <c r="D824" i="14"/>
  <c r="D805" i="14"/>
  <c r="D783" i="14"/>
  <c r="D763" i="14"/>
  <c r="D740" i="14"/>
  <c r="D722" i="14"/>
  <c r="D702" i="14"/>
  <c r="D680" i="14"/>
  <c r="D661" i="14"/>
  <c r="D641" i="14"/>
  <c r="D623" i="14"/>
  <c r="D608" i="14"/>
  <c r="D593" i="14"/>
  <c r="D576" i="14"/>
  <c r="D561" i="14"/>
  <c r="D546" i="14"/>
  <c r="D531" i="14"/>
  <c r="D515" i="14"/>
  <c r="D500" i="14"/>
  <c r="D484" i="14"/>
  <c r="D468" i="14"/>
  <c r="D452" i="14"/>
  <c r="D437" i="14"/>
  <c r="D422" i="14"/>
  <c r="D407" i="14"/>
  <c r="D393" i="14"/>
  <c r="D379" i="14"/>
  <c r="D365" i="14"/>
  <c r="D351" i="14"/>
  <c r="D336" i="14"/>
  <c r="D322" i="14"/>
  <c r="D308" i="14"/>
  <c r="D293" i="14"/>
  <c r="D279" i="14"/>
  <c r="D264" i="14"/>
  <c r="D250" i="14"/>
  <c r="D236" i="14"/>
  <c r="D222" i="14"/>
  <c r="D208" i="14"/>
  <c r="D195" i="14"/>
  <c r="D182" i="14"/>
  <c r="D168" i="14"/>
  <c r="D155" i="14"/>
  <c r="D142" i="14"/>
  <c r="D129" i="14"/>
  <c r="D116" i="14"/>
  <c r="D103" i="14"/>
  <c r="D90" i="14"/>
  <c r="D77" i="14"/>
  <c r="D64" i="14"/>
  <c r="D51" i="14"/>
  <c r="D39" i="14"/>
  <c r="D27" i="14"/>
  <c r="D15" i="14"/>
  <c r="D4" i="14"/>
  <c r="D840" i="14"/>
  <c r="D820" i="14"/>
  <c r="D798" i="14"/>
  <c r="D779" i="14"/>
  <c r="D760" i="14"/>
  <c r="D737" i="14"/>
  <c r="D719" i="14"/>
  <c r="D696" i="14"/>
  <c r="D675" i="14"/>
  <c r="D653" i="14"/>
  <c r="D836" i="14"/>
  <c r="D817" i="14"/>
  <c r="D794" i="14"/>
  <c r="D775" i="14"/>
  <c r="D752" i="14"/>
  <c r="D733" i="14"/>
  <c r="D710" i="14"/>
  <c r="D691" i="14"/>
  <c r="D668" i="14"/>
  <c r="D649" i="14"/>
  <c r="D632" i="14"/>
  <c r="D616" i="14"/>
  <c r="D600" i="14"/>
  <c r="D585" i="14"/>
  <c r="D570" i="14"/>
  <c r="D555" i="14"/>
  <c r="D537" i="14"/>
  <c r="D522" i="14"/>
  <c r="D507" i="14"/>
  <c r="D491" i="14"/>
  <c r="D476" i="14"/>
  <c r="D461" i="14"/>
  <c r="D444" i="14"/>
  <c r="D429" i="14"/>
  <c r="D415" i="14"/>
  <c r="D401" i="14"/>
  <c r="D387" i="14"/>
  <c r="D371" i="14"/>
  <c r="D357" i="14"/>
  <c r="D343" i="14"/>
  <c r="D329" i="14"/>
  <c r="D315" i="14"/>
  <c r="D300" i="14"/>
  <c r="D286" i="14"/>
  <c r="D272" i="14"/>
  <c r="D258" i="14"/>
  <c r="D244" i="14"/>
  <c r="D230" i="14"/>
  <c r="D214" i="14"/>
  <c r="D201" i="14"/>
  <c r="D188" i="14"/>
  <c r="D175" i="14"/>
  <c r="D162" i="14"/>
  <c r="D149" i="14"/>
  <c r="D136" i="14"/>
  <c r="D123" i="14"/>
  <c r="D110" i="14"/>
  <c r="D96" i="14"/>
  <c r="D83" i="14"/>
  <c r="D70" i="14"/>
  <c r="D57" i="14"/>
  <c r="D45" i="14"/>
  <c r="D33" i="14"/>
  <c r="D21" i="14"/>
  <c r="D9" i="14"/>
  <c r="D835" i="14"/>
  <c r="D812" i="14"/>
  <c r="D793" i="14"/>
  <c r="D774" i="14"/>
  <c r="D750" i="14"/>
  <c r="D732" i="14"/>
  <c r="D709" i="14"/>
  <c r="D689" i="14"/>
  <c r="D667" i="14"/>
  <c r="D648" i="14"/>
  <c r="D631" i="14"/>
  <c r="D615" i="14"/>
  <c r="D599" i="14"/>
  <c r="D584" i="14"/>
  <c r="D569" i="14"/>
  <c r="D552" i="14"/>
  <c r="D536" i="14"/>
  <c r="D521" i="14"/>
  <c r="D506" i="14"/>
  <c r="D490" i="14"/>
  <c r="D475" i="14"/>
  <c r="D459" i="14"/>
  <c r="D443" i="14"/>
  <c r="D428" i="14"/>
  <c r="D414" i="14"/>
  <c r="D400" i="14"/>
  <c r="D384" i="14"/>
  <c r="D370" i="14"/>
  <c r="D356" i="14"/>
  <c r="D342" i="14"/>
  <c r="D328" i="14"/>
  <c r="D314" i="14"/>
  <c r="D299" i="14"/>
  <c r="D285" i="14"/>
  <c r="D271" i="14"/>
  <c r="D257" i="14"/>
  <c r="D243" i="14"/>
  <c r="D227" i="14"/>
  <c r="D213" i="14"/>
  <c r="D200" i="14"/>
  <c r="D187" i="14"/>
  <c r="D174" i="14"/>
  <c r="D161" i="14"/>
  <c r="D148" i="14"/>
  <c r="D135" i="14"/>
  <c r="D122" i="14"/>
  <c r="D108" i="14"/>
  <c r="D95" i="14"/>
  <c r="D82" i="14"/>
  <c r="D69" i="14"/>
  <c r="D56" i="14"/>
  <c r="D44" i="14"/>
  <c r="D32" i="14"/>
  <c r="D20" i="14"/>
  <c r="D8" i="14"/>
  <c r="D833" i="14"/>
  <c r="D811" i="14"/>
  <c r="D792" i="14"/>
  <c r="D768" i="14"/>
  <c r="D749" i="14"/>
  <c r="D726" i="14"/>
  <c r="D708" i="14"/>
  <c r="D688" i="14"/>
  <c r="D666" i="14"/>
  <c r="D647" i="14"/>
  <c r="D629" i="14"/>
  <c r="D614" i="14"/>
  <c r="D598" i="14"/>
  <c r="D583" i="14"/>
  <c r="D567" i="14"/>
  <c r="D550" i="14"/>
  <c r="D535" i="14"/>
  <c r="D520" i="14"/>
  <c r="D504" i="14"/>
  <c r="D489" i="14"/>
  <c r="D474" i="14"/>
  <c r="D458" i="14"/>
  <c r="D442" i="14"/>
  <c r="D427" i="14"/>
  <c r="D413" i="14"/>
  <c r="D398" i="14"/>
  <c r="D383" i="14"/>
  <c r="D369" i="14"/>
  <c r="D355" i="14"/>
  <c r="D341" i="14"/>
  <c r="D327" i="14"/>
  <c r="D312" i="14"/>
  <c r="D298" i="14"/>
  <c r="D284" i="14"/>
  <c r="D270" i="14"/>
  <c r="D256" i="14"/>
  <c r="D240" i="14"/>
  <c r="D226" i="14"/>
  <c r="D212" i="14"/>
  <c r="D199" i="14"/>
  <c r="D186" i="14"/>
  <c r="D173" i="14"/>
  <c r="D160" i="14"/>
  <c r="D147" i="14"/>
  <c r="D134" i="14"/>
  <c r="D120" i="14"/>
  <c r="D107" i="14"/>
  <c r="D94" i="14"/>
  <c r="D81" i="14"/>
  <c r="D68" i="14"/>
  <c r="D55" i="14"/>
  <c r="D43" i="14"/>
  <c r="D31" i="14"/>
  <c r="D19" i="14"/>
  <c r="D7" i="14"/>
  <c r="D832" i="14"/>
  <c r="D810" i="14"/>
  <c r="D790" i="14"/>
  <c r="D767" i="14"/>
  <c r="D748" i="14"/>
  <c r="D725" i="14"/>
  <c r="D707" i="14"/>
  <c r="D684" i="14"/>
  <c r="D665" i="14"/>
  <c r="D646" i="14"/>
  <c r="D628" i="14"/>
  <c r="D612" i="14"/>
  <c r="D597" i="14"/>
  <c r="D581" i="14"/>
  <c r="D566" i="14"/>
  <c r="D549" i="14"/>
  <c r="D534" i="14"/>
  <c r="D519" i="14"/>
  <c r="D503" i="14"/>
  <c r="D488" i="14"/>
  <c r="D472" i="14"/>
  <c r="D456" i="14"/>
  <c r="D441" i="14"/>
  <c r="D426" i="14"/>
  <c r="D411" i="14"/>
  <c r="D396" i="14"/>
  <c r="D382" i="14"/>
  <c r="D368" i="14"/>
  <c r="D354" i="14"/>
  <c r="D340" i="14"/>
  <c r="D326" i="14"/>
  <c r="D311" i="14"/>
  <c r="D297" i="14"/>
  <c r="D283" i="14"/>
  <c r="D269" i="14"/>
  <c r="D254" i="14"/>
  <c r="D239" i="14"/>
  <c r="D225" i="14"/>
  <c r="D211" i="14"/>
  <c r="D198" i="14"/>
  <c r="D185" i="14"/>
  <c r="D172" i="14"/>
  <c r="D159" i="14"/>
  <c r="D146" i="14"/>
  <c r="D132" i="14"/>
  <c r="D119" i="14"/>
  <c r="D106" i="14"/>
  <c r="D93" i="14"/>
  <c r="D80" i="14"/>
  <c r="D67" i="14"/>
  <c r="D54" i="14"/>
  <c r="D42" i="14"/>
  <c r="D30" i="14"/>
  <c r="D18" i="14"/>
  <c r="D6" i="14"/>
  <c r="D838" i="14"/>
  <c r="D776" i="14"/>
  <c r="D711" i="14"/>
  <c r="D650" i="14"/>
  <c r="D606" i="14"/>
  <c r="D572" i="14"/>
  <c r="D530" i="14"/>
  <c r="D495" i="14"/>
  <c r="D462" i="14"/>
  <c r="D420" i="14"/>
  <c r="D392" i="14"/>
  <c r="D364" i="14"/>
  <c r="D335" i="14"/>
  <c r="D306" i="14"/>
  <c r="D278" i="14"/>
  <c r="D249" i="14"/>
  <c r="D221" i="14"/>
  <c r="D194" i="14"/>
  <c r="D167" i="14"/>
  <c r="D141" i="14"/>
  <c r="D115" i="14"/>
  <c r="D89" i="14"/>
  <c r="D63" i="14"/>
  <c r="D38" i="14"/>
  <c r="D14" i="14"/>
  <c r="D823" i="14"/>
  <c r="D762" i="14"/>
  <c r="D698" i="14"/>
  <c r="D639" i="14"/>
  <c r="D605" i="14"/>
  <c r="D571" i="14"/>
  <c r="D528" i="14"/>
  <c r="D494" i="14"/>
  <c r="D451" i="14"/>
  <c r="D419" i="14"/>
  <c r="D391" i="14"/>
  <c r="D363" i="14"/>
  <c r="D334" i="14"/>
  <c r="D305" i="14"/>
  <c r="D276" i="14"/>
  <c r="D248" i="14"/>
  <c r="D220" i="14"/>
  <c r="D192" i="14"/>
  <c r="D166" i="14"/>
  <c r="D140" i="14"/>
  <c r="D114" i="14"/>
  <c r="D88" i="14"/>
  <c r="D62" i="14"/>
  <c r="D37" i="14"/>
  <c r="D13" i="14"/>
  <c r="D822" i="14"/>
  <c r="D761" i="14"/>
  <c r="D697" i="14"/>
  <c r="D637" i="14"/>
  <c r="D603" i="14"/>
  <c r="D560" i="14"/>
  <c r="D527" i="14"/>
  <c r="D492" i="14"/>
  <c r="D450" i="14"/>
  <c r="D418" i="14"/>
  <c r="D390" i="14"/>
  <c r="D362" i="14"/>
  <c r="D332" i="14"/>
  <c r="D304" i="14"/>
  <c r="D275" i="14"/>
  <c r="D247" i="14"/>
  <c r="D219" i="14"/>
  <c r="D191" i="14"/>
  <c r="D165" i="14"/>
  <c r="D139" i="14"/>
  <c r="D113" i="14"/>
  <c r="D87" i="14"/>
  <c r="D60" i="14"/>
  <c r="D36" i="14"/>
  <c r="D12" i="14"/>
  <c r="D819" i="14"/>
  <c r="D755" i="14"/>
  <c r="D694" i="14"/>
  <c r="D636" i="14"/>
  <c r="D602" i="14"/>
  <c r="D559" i="14"/>
  <c r="D526" i="14"/>
  <c r="D483" i="14"/>
  <c r="D449" i="14"/>
  <c r="D417" i="14"/>
  <c r="D389" i="14"/>
  <c r="D360" i="14"/>
  <c r="D331" i="14"/>
  <c r="D303" i="14"/>
  <c r="D274" i="14"/>
  <c r="D246" i="14"/>
  <c r="D218" i="14"/>
  <c r="D190" i="14"/>
  <c r="D164" i="14"/>
  <c r="D138" i="14"/>
  <c r="D112" i="14"/>
  <c r="D86" i="14"/>
  <c r="D59" i="14"/>
  <c r="D35" i="14"/>
  <c r="D11" i="14"/>
  <c r="D818" i="14"/>
  <c r="D754" i="14"/>
  <c r="D692" i="14"/>
  <c r="D635" i="14"/>
  <c r="D592" i="14"/>
  <c r="D558" i="14"/>
  <c r="D523" i="14"/>
  <c r="D480" i="14"/>
  <c r="D448" i="14"/>
  <c r="D416" i="14"/>
  <c r="D388" i="14"/>
  <c r="D358" i="14"/>
  <c r="D330" i="14"/>
  <c r="D302" i="14"/>
  <c r="D273" i="14"/>
  <c r="D245" i="14"/>
  <c r="D216" i="14"/>
  <c r="D189" i="14"/>
  <c r="D163" i="14"/>
  <c r="D137" i="14"/>
  <c r="D111" i="14"/>
  <c r="D84" i="14"/>
  <c r="D58" i="14"/>
  <c r="D34" i="14"/>
  <c r="D10" i="14"/>
  <c r="D804" i="14"/>
  <c r="D739" i="14"/>
  <c r="D679" i="14"/>
  <c r="D634" i="14"/>
  <c r="D590" i="14"/>
  <c r="D557" i="14"/>
  <c r="D514" i="14"/>
  <c r="D479" i="14"/>
  <c r="D446" i="14"/>
  <c r="D408" i="14"/>
  <c r="D380" i="14"/>
  <c r="D352" i="14"/>
  <c r="D323" i="14"/>
  <c r="D295" i="14"/>
  <c r="D266" i="14"/>
  <c r="D237" i="14"/>
  <c r="D209" i="14"/>
  <c r="D183" i="14"/>
  <c r="D156" i="14"/>
  <c r="D130" i="14"/>
  <c r="D104" i="14"/>
  <c r="D78" i="14"/>
  <c r="D52" i="14"/>
  <c r="D28" i="14"/>
  <c r="D797" i="14"/>
  <c r="D736" i="14"/>
  <c r="D674" i="14"/>
  <c r="D621" i="14"/>
  <c r="D587" i="14"/>
  <c r="D545" i="14"/>
  <c r="D511" i="14"/>
  <c r="D477" i="14"/>
  <c r="D435" i="14"/>
  <c r="D405" i="14"/>
  <c r="D377" i="14"/>
  <c r="D348" i="14"/>
  <c r="D319" i="14"/>
  <c r="D291" i="14"/>
  <c r="D262" i="14"/>
  <c r="D234" i="14"/>
  <c r="D206" i="14"/>
  <c r="D179" i="14"/>
  <c r="D153" i="14"/>
  <c r="D127" i="14"/>
  <c r="D101" i="14"/>
  <c r="D75" i="14"/>
  <c r="D49" i="14"/>
  <c r="D25" i="14"/>
  <c r="D796" i="14"/>
  <c r="D735" i="14"/>
  <c r="D670" i="14"/>
  <c r="D620" i="14"/>
  <c r="D586" i="14"/>
  <c r="D544" i="14"/>
  <c r="D509" i="14"/>
  <c r="D466" i="14"/>
  <c r="D432" i="14"/>
  <c r="D404" i="14"/>
  <c r="D376" i="14"/>
  <c r="D347" i="14"/>
  <c r="D318" i="14"/>
  <c r="D290" i="14"/>
  <c r="D261" i="14"/>
  <c r="D233" i="14"/>
  <c r="D204" i="14"/>
  <c r="D178" i="14"/>
  <c r="D152" i="14"/>
  <c r="D126" i="14"/>
  <c r="D100" i="14"/>
  <c r="D74" i="14"/>
  <c r="D48" i="14"/>
  <c r="D24" i="14"/>
  <c r="D781" i="14"/>
  <c r="D721" i="14"/>
  <c r="D660" i="14"/>
  <c r="D619" i="14"/>
  <c r="D575" i="14"/>
  <c r="D543" i="14"/>
  <c r="D508" i="14"/>
  <c r="D465" i="14"/>
  <c r="D431" i="14"/>
  <c r="D403" i="14"/>
  <c r="D375" i="14"/>
  <c r="D345" i="14"/>
  <c r="D317" i="14"/>
  <c r="D288" i="14"/>
  <c r="D260" i="14"/>
  <c r="D232" i="14"/>
  <c r="D203" i="14"/>
  <c r="D177" i="14"/>
  <c r="D151" i="14"/>
  <c r="D125" i="14"/>
  <c r="D99" i="14"/>
  <c r="D72" i="14"/>
  <c r="D47" i="14"/>
  <c r="D23" i="14"/>
  <c r="D841" i="14"/>
  <c r="D780" i="14"/>
  <c r="D720" i="14"/>
  <c r="D654" i="14"/>
  <c r="D618" i="14"/>
  <c r="D574" i="14"/>
  <c r="D542" i="14"/>
  <c r="D498" i="14"/>
  <c r="D464" i="14"/>
  <c r="D430" i="14"/>
  <c r="D402" i="14"/>
  <c r="D374" i="14"/>
  <c r="D344" i="14"/>
  <c r="D316" i="14"/>
  <c r="D287" i="14"/>
  <c r="D259" i="14"/>
  <c r="D231" i="14"/>
  <c r="D202" i="14"/>
  <c r="D176" i="14"/>
  <c r="D150" i="14"/>
  <c r="D124" i="14"/>
  <c r="D98" i="14"/>
  <c r="D71" i="14"/>
  <c r="D46" i="14"/>
  <c r="D22" i="14"/>
  <c r="D839" i="14"/>
  <c r="D738" i="14"/>
  <c r="D478" i="14"/>
  <c r="D292" i="14"/>
  <c r="D128" i="14"/>
  <c r="D718" i="14"/>
  <c r="D463" i="14"/>
  <c r="D280" i="14"/>
  <c r="D117" i="14"/>
  <c r="D678" i="14"/>
  <c r="D436" i="14"/>
  <c r="D263" i="14"/>
  <c r="D102" i="14"/>
  <c r="D588" i="14"/>
  <c r="D378" i="14"/>
  <c r="D207" i="14"/>
  <c r="D50" i="14"/>
  <c r="D573" i="14"/>
  <c r="D366" i="14"/>
  <c r="D196" i="14"/>
  <c r="D40" i="14"/>
  <c r="D540" i="14"/>
  <c r="D338" i="14"/>
  <c r="D170" i="14"/>
  <c r="D16" i="14"/>
  <c r="D803" i="14"/>
  <c r="D513" i="14"/>
  <c r="D321" i="14"/>
  <c r="D154" i="14"/>
  <c r="D778" i="14"/>
  <c r="D497" i="14"/>
  <c r="D309" i="14"/>
  <c r="D143" i="14"/>
  <c r="D423" i="14"/>
  <c r="D406" i="14"/>
  <c r="D394" i="14"/>
  <c r="D350" i="14"/>
  <c r="D251" i="14"/>
  <c r="D235" i="14"/>
  <c r="D180" i="14"/>
  <c r="D652" i="14"/>
  <c r="D91" i="14"/>
  <c r="D622" i="14"/>
  <c r="D76" i="14"/>
  <c r="D607" i="14"/>
  <c r="D65" i="14"/>
  <c r="D556" i="14"/>
  <c r="D26" i="14"/>
  <c r="D223" i="14"/>
</calcChain>
</file>

<file path=xl/sharedStrings.xml><?xml version="1.0" encoding="utf-8"?>
<sst xmlns="http://schemas.openxmlformats.org/spreadsheetml/2006/main" count="11929" uniqueCount="832">
  <si>
    <t>氏名</t>
  </si>
  <si>
    <t>都道府県</t>
  </si>
  <si>
    <t>A級</t>
  </si>
  <si>
    <t>仙台育英学園高</t>
  </si>
  <si>
    <t>仙台青陵中等教育</t>
  </si>
  <si>
    <t/>
  </si>
  <si>
    <t>酒田東高</t>
  </si>
  <si>
    <t>神宮優理</t>
  </si>
  <si>
    <t>中央中等教育</t>
  </si>
  <si>
    <t>浦和第一女子高</t>
  </si>
  <si>
    <t>浦和明の星女子高</t>
  </si>
  <si>
    <t>開智高</t>
  </si>
  <si>
    <t>浦和西高</t>
  </si>
  <si>
    <t>板橋咲海</t>
  </si>
  <si>
    <t>星野高</t>
  </si>
  <si>
    <t>市川高</t>
  </si>
  <si>
    <t>成田高</t>
  </si>
  <si>
    <t>鎌ヶ谷高</t>
  </si>
  <si>
    <t>流通経大付柏高</t>
  </si>
  <si>
    <t>生越綺乃</t>
  </si>
  <si>
    <t>安田学園高</t>
  </si>
  <si>
    <t>海城高</t>
  </si>
  <si>
    <t>関東一高</t>
  </si>
  <si>
    <t>暁星高</t>
  </si>
  <si>
    <t>渋谷教育学園渋谷高</t>
  </si>
  <si>
    <t>後藤遥</t>
  </si>
  <si>
    <t>駒場高</t>
  </si>
  <si>
    <t>南多摩中等教育</t>
  </si>
  <si>
    <t>白鷗高</t>
  </si>
  <si>
    <t>富士見高</t>
  </si>
  <si>
    <t>桐光学園高</t>
  </si>
  <si>
    <t>横浜平沼高</t>
  </si>
  <si>
    <t>木内美里</t>
  </si>
  <si>
    <t>平塚江南高</t>
  </si>
  <si>
    <t>日本航空高</t>
  </si>
  <si>
    <t>金沢錦丘高</t>
  </si>
  <si>
    <t>金沢泉丘高</t>
  </si>
  <si>
    <t>敦賀気比高</t>
  </si>
  <si>
    <t>美方高</t>
  </si>
  <si>
    <t>丸山千尋</t>
  </si>
  <si>
    <t>松本県ケ丘高</t>
  </si>
  <si>
    <t>浜松西高</t>
  </si>
  <si>
    <t>富士高</t>
  </si>
  <si>
    <t>旭丘高</t>
  </si>
  <si>
    <t>守山高</t>
  </si>
  <si>
    <t>膳所高</t>
  </si>
  <si>
    <t>西京高</t>
  </si>
  <si>
    <t>大谷高</t>
  </si>
  <si>
    <t>棚野葵子</t>
  </si>
  <si>
    <t>洛南高</t>
  </si>
  <si>
    <t>四天王寺高</t>
  </si>
  <si>
    <t>飛鳥未来高</t>
  </si>
  <si>
    <t>龍野高</t>
  </si>
  <si>
    <t>東大寺学園高</t>
  </si>
  <si>
    <t>国際高</t>
  </si>
  <si>
    <t>松江北高</t>
  </si>
  <si>
    <t>祇園北高</t>
  </si>
  <si>
    <t>若狭千尋</t>
  </si>
  <si>
    <t>筑紫女学園高</t>
  </si>
  <si>
    <t>福岡高</t>
  </si>
  <si>
    <t>佐賀北高</t>
  </si>
  <si>
    <t>熊本高</t>
  </si>
  <si>
    <t>中津南高</t>
  </si>
  <si>
    <t>B1級</t>
  </si>
  <si>
    <t>函館中部高</t>
  </si>
  <si>
    <t>五所川原高</t>
  </si>
  <si>
    <t>仙台第三高</t>
  </si>
  <si>
    <t>大館鳳鳴高</t>
  </si>
  <si>
    <t>鉾田第一高</t>
  </si>
  <si>
    <t>宇都宮高</t>
  </si>
  <si>
    <t>宇都宮女子高</t>
  </si>
  <si>
    <t>越井ちほ</t>
  </si>
  <si>
    <t>宇都宮北高</t>
  </si>
  <si>
    <t>千葉高</t>
  </si>
  <si>
    <t>学習院女子</t>
  </si>
  <si>
    <t>共立女子高</t>
  </si>
  <si>
    <t>馳川井知子</t>
  </si>
  <si>
    <t>桜蔭高</t>
  </si>
  <si>
    <t>青稜高</t>
  </si>
  <si>
    <t>鎌倉女学院高</t>
  </si>
  <si>
    <t>中川碧</t>
  </si>
  <si>
    <t>藤沢西高</t>
  </si>
  <si>
    <t>甲府南高</t>
  </si>
  <si>
    <t>石丸柑奈</t>
  </si>
  <si>
    <t>武生高</t>
  </si>
  <si>
    <t>諏訪清陵高</t>
  </si>
  <si>
    <t>大垣北高</t>
  </si>
  <si>
    <t>野秋桃子</t>
  </si>
  <si>
    <t>沼津東高</t>
  </si>
  <si>
    <t>浜松北高</t>
  </si>
  <si>
    <t>名城大附属高</t>
  </si>
  <si>
    <t>京都女子高</t>
  </si>
  <si>
    <t>北稜高</t>
  </si>
  <si>
    <t>市岡高</t>
  </si>
  <si>
    <t>今田若那</t>
  </si>
  <si>
    <t>天王寺高</t>
  </si>
  <si>
    <t>桃山学院高</t>
  </si>
  <si>
    <t>賢明女子学院高</t>
  </si>
  <si>
    <t>県西宮高</t>
  </si>
  <si>
    <t>網干高</t>
  </si>
  <si>
    <t>畝傍高</t>
  </si>
  <si>
    <t>青翔開智高</t>
  </si>
  <si>
    <t>倉敷青陵高</t>
  </si>
  <si>
    <t>慶進高</t>
  </si>
  <si>
    <t>城北高</t>
  </si>
  <si>
    <t>桃坂真子</t>
  </si>
  <si>
    <t>筑紫丘高</t>
  </si>
  <si>
    <t>中谷優花</t>
  </si>
  <si>
    <t>宮崎西高</t>
  </si>
  <si>
    <t>鶴丸高</t>
  </si>
  <si>
    <t>B2級</t>
  </si>
  <si>
    <t>立命館慶祥高</t>
  </si>
  <si>
    <t>新岡慶士</t>
  </si>
  <si>
    <t>仙台第二高</t>
  </si>
  <si>
    <t>飯岡心遥</t>
  </si>
  <si>
    <t>高崎女子高</t>
  </si>
  <si>
    <t>高崎健康福祉大高</t>
  </si>
  <si>
    <t>佐々木彩</t>
  </si>
  <si>
    <t>渋谷教育学園幕張高</t>
  </si>
  <si>
    <t>安藤みなみ</t>
  </si>
  <si>
    <t>桜修館中等教育</t>
  </si>
  <si>
    <t>桐蔭学園高</t>
  </si>
  <si>
    <t>𠮷本勇真</t>
  </si>
  <si>
    <t>富山中部高</t>
  </si>
  <si>
    <t>金津高</t>
  </si>
  <si>
    <t>長野高</t>
  </si>
  <si>
    <t>静岡東高</t>
  </si>
  <si>
    <t>瑞陵高</t>
  </si>
  <si>
    <t>松阪高</t>
  </si>
  <si>
    <t>京都先端科学大附高</t>
  </si>
  <si>
    <t>洛北高</t>
  </si>
  <si>
    <t>日高里紗</t>
  </si>
  <si>
    <t>市西宮高</t>
  </si>
  <si>
    <t>姫路西高</t>
  </si>
  <si>
    <t>益田高</t>
  </si>
  <si>
    <t>城ノ内中等教育</t>
  </si>
  <si>
    <t>高松高</t>
  </si>
  <si>
    <t>柄本健太</t>
  </si>
  <si>
    <t>香椎高</t>
  </si>
  <si>
    <t>三木原理子</t>
  </si>
  <si>
    <t>熊本学園大付高</t>
  </si>
  <si>
    <t>奈良高</t>
  </si>
  <si>
    <t>B3級</t>
  </si>
  <si>
    <t>一関第一高</t>
  </si>
  <si>
    <t>淺海莉子</t>
  </si>
  <si>
    <t>安積黎明高</t>
  </si>
  <si>
    <t>淑徳与野高</t>
  </si>
  <si>
    <t>城北学園高</t>
  </si>
  <si>
    <t>巣鴨高</t>
  </si>
  <si>
    <t>豊多摩高</t>
  </si>
  <si>
    <t>桐蔭学園中等教育</t>
  </si>
  <si>
    <t>湘南高</t>
  </si>
  <si>
    <t>村田悠李亜</t>
  </si>
  <si>
    <t>富山東高</t>
  </si>
  <si>
    <t>赤澤菜月</t>
  </si>
  <si>
    <t>敦賀高</t>
  </si>
  <si>
    <t>飯田高</t>
  </si>
  <si>
    <t>鶯谷高</t>
  </si>
  <si>
    <t>静岡雙葉高</t>
  </si>
  <si>
    <t>愛知淑徳高</t>
  </si>
  <si>
    <t>比叡山高</t>
  </si>
  <si>
    <t>山城高</t>
  </si>
  <si>
    <t>同志社国際高</t>
  </si>
  <si>
    <t>寝屋川高</t>
  </si>
  <si>
    <t>大手前高</t>
  </si>
  <si>
    <t>神戸高</t>
  </si>
  <si>
    <t>育英高</t>
  </si>
  <si>
    <t>岡佑来乃</t>
  </si>
  <si>
    <t>出雲高</t>
  </si>
  <si>
    <t>愛光高</t>
  </si>
  <si>
    <t>小川晴香</t>
  </si>
  <si>
    <t>工藤啓人</t>
  </si>
  <si>
    <t>守口華保</t>
  </si>
  <si>
    <t>下地彬慈</t>
  </si>
  <si>
    <t>宮古高</t>
  </si>
  <si>
    <t>B4級</t>
  </si>
  <si>
    <t>宮城第一高</t>
  </si>
  <si>
    <t>前橋女子高</t>
  </si>
  <si>
    <t>伊藤陽菜</t>
  </si>
  <si>
    <t>筑波大附高</t>
  </si>
  <si>
    <t>城東高</t>
  </si>
  <si>
    <t>福島璃里子</t>
  </si>
  <si>
    <t>東京学芸大附高</t>
  </si>
  <si>
    <t>慶應義塾湘南藤沢高</t>
  </si>
  <si>
    <t>武藤蒼依</t>
  </si>
  <si>
    <t>新城高</t>
  </si>
  <si>
    <t>相模女子大高等部</t>
  </si>
  <si>
    <t>小松大谷高</t>
  </si>
  <si>
    <t>文化学園長野高</t>
  </si>
  <si>
    <t>滝高</t>
  </si>
  <si>
    <t>龍谷大付平安高</t>
  </si>
  <si>
    <t>大教大附高天王寺</t>
  </si>
  <si>
    <t>清水谷高</t>
  </si>
  <si>
    <t>明石高</t>
  </si>
  <si>
    <t>早田考佑</t>
  </si>
  <si>
    <t>玉野光南高</t>
  </si>
  <si>
    <t>石川穂乃佳</t>
  </si>
  <si>
    <t>城南高</t>
  </si>
  <si>
    <t>田中真菜</t>
  </si>
  <si>
    <t>宇和島東高</t>
  </si>
  <si>
    <t>宮脇里桜</t>
  </si>
  <si>
    <t>保科実杜</t>
  </si>
  <si>
    <t>宮崎大宮高</t>
  </si>
  <si>
    <t>B5級</t>
  </si>
  <si>
    <t>多賀谷はるか</t>
  </si>
  <si>
    <t>鹿角高</t>
  </si>
  <si>
    <t>矢野岳</t>
  </si>
  <si>
    <t>倉井舞音</t>
  </si>
  <si>
    <t>橋本ひなた</t>
  </si>
  <si>
    <t>広瀬綾</t>
  </si>
  <si>
    <t>日野台高</t>
  </si>
  <si>
    <t>横浜ｻｲｴﾝｽﾌﾛﾝﾃｨｱ高</t>
  </si>
  <si>
    <t>星稜高</t>
  </si>
  <si>
    <t>松本深志高</t>
  </si>
  <si>
    <t>岐阜高</t>
  </si>
  <si>
    <t>南山高女子部</t>
  </si>
  <si>
    <t>倉田悠玄</t>
  </si>
  <si>
    <t>茨木高</t>
  </si>
  <si>
    <t>眞﨑慧人</t>
  </si>
  <si>
    <t>桐蔭高</t>
  </si>
  <si>
    <t>宮本奈乃</t>
  </si>
  <si>
    <t>尾道高</t>
  </si>
  <si>
    <t>修猷館高</t>
  </si>
  <si>
    <t>鹿本高</t>
  </si>
  <si>
    <t>富山第一高</t>
  </si>
  <si>
    <t>C1級</t>
  </si>
  <si>
    <t>北海学園札幌高</t>
  </si>
  <si>
    <t>秋田北鷹高</t>
  </si>
  <si>
    <t>深谷若菜</t>
  </si>
  <si>
    <t>和光国際高</t>
  </si>
  <si>
    <t>磯田実亜</t>
  </si>
  <si>
    <t>フェリス女学院高</t>
  </si>
  <si>
    <t>秦野高</t>
  </si>
  <si>
    <t>有田結</t>
  </si>
  <si>
    <t>三条高</t>
  </si>
  <si>
    <t>小松高</t>
  </si>
  <si>
    <t>愛知工大名電高</t>
  </si>
  <si>
    <t>桑名高</t>
  </si>
  <si>
    <t>金蘭千里高</t>
  </si>
  <si>
    <t>小野田高</t>
  </si>
  <si>
    <t>児玉凜子</t>
  </si>
  <si>
    <t>松山東高</t>
  </si>
  <si>
    <t>C2級</t>
  </si>
  <si>
    <t>国府台女子学院</t>
  </si>
  <si>
    <t>塩谷千尋</t>
  </si>
  <si>
    <t>小川千陽</t>
  </si>
  <si>
    <t>清流館高</t>
  </si>
  <si>
    <t>大野紡</t>
  </si>
  <si>
    <t>吉田紗奈美</t>
  </si>
  <si>
    <t>済美平成中等教育</t>
  </si>
  <si>
    <t>C3級</t>
  </si>
  <si>
    <t>札幌北高</t>
  </si>
  <si>
    <t>篠崎好花</t>
  </si>
  <si>
    <t>久木田かえで</t>
  </si>
  <si>
    <t>春日丘高</t>
  </si>
  <si>
    <t>相生学院高</t>
  </si>
  <si>
    <t>ノートルダム清心高</t>
  </si>
  <si>
    <t>古賀藤子</t>
  </si>
  <si>
    <t>石塚璃央</t>
  </si>
  <si>
    <t>那覇国際高</t>
  </si>
  <si>
    <t>C4級</t>
  </si>
  <si>
    <t>開智未来高</t>
  </si>
  <si>
    <t>鈴木かえで</t>
  </si>
  <si>
    <t>横浜共立学園高</t>
  </si>
  <si>
    <t>高岡高</t>
  </si>
  <si>
    <t>若狭高</t>
  </si>
  <si>
    <t>熊谷心結</t>
  </si>
  <si>
    <t>藤岡希乃</t>
  </si>
  <si>
    <t>津田玲奈</t>
  </si>
  <si>
    <t>篠山鳳鳴高</t>
  </si>
  <si>
    <t>松山東雲高</t>
  </si>
  <si>
    <t>C5級</t>
  </si>
  <si>
    <t>市立太田高</t>
  </si>
  <si>
    <t>細田学園高</t>
  </si>
  <si>
    <t>田中希乃</t>
  </si>
  <si>
    <t>佐藤奈々</t>
  </si>
  <si>
    <t>宮本紗奈</t>
  </si>
  <si>
    <t>横山塔子</t>
  </si>
  <si>
    <t>土佐高</t>
  </si>
  <si>
    <t>C6級</t>
  </si>
  <si>
    <t>渡部桃子</t>
  </si>
  <si>
    <t>水野杏央唯</t>
  </si>
  <si>
    <t>奥野陽春</t>
  </si>
  <si>
    <t>津西高</t>
  </si>
  <si>
    <t>高津高</t>
  </si>
  <si>
    <t>鳳高</t>
  </si>
  <si>
    <t>ボルジャ愛莉</t>
  </si>
  <si>
    <t>Kimbolton</t>
  </si>
  <si>
    <t>C7級</t>
  </si>
  <si>
    <t>大髙世士</t>
  </si>
  <si>
    <t>東京農大二高</t>
  </si>
  <si>
    <t>横浜雙葉高</t>
  </si>
  <si>
    <t>今田衣咲</t>
  </si>
  <si>
    <t>藤島高</t>
  </si>
  <si>
    <t>市立長野高</t>
  </si>
  <si>
    <t>同志社高</t>
  </si>
  <si>
    <t>育英西高</t>
  </si>
  <si>
    <t>折野葵</t>
  </si>
  <si>
    <t>坂田李那</t>
  </si>
  <si>
    <t>C8級</t>
  </si>
  <si>
    <t>佐藤梨央</t>
  </si>
  <si>
    <t>羽黒高</t>
  </si>
  <si>
    <t>松木笙子</t>
  </si>
  <si>
    <t>廣瀬結愛</t>
  </si>
  <si>
    <t>久留米商業高</t>
  </si>
  <si>
    <t>鍋島莉桜</t>
  </si>
  <si>
    <t>C9級</t>
  </si>
  <si>
    <t>中島美紀</t>
  </si>
  <si>
    <t>𡈽屋広大</t>
  </si>
  <si>
    <t>成瀬高</t>
  </si>
  <si>
    <t>安藤みれい</t>
  </si>
  <si>
    <t>奈良育英高</t>
  </si>
  <si>
    <t>高塚楓子</t>
  </si>
  <si>
    <t>C10級</t>
  </si>
  <si>
    <t>三好真生</t>
  </si>
  <si>
    <t>晴海総合高</t>
  </si>
  <si>
    <t>佐塚美咲</t>
  </si>
  <si>
    <t>上柳凜子</t>
  </si>
  <si>
    <t>奈良学園登美ヶ丘高</t>
  </si>
  <si>
    <t>鳥取西高</t>
  </si>
  <si>
    <t>大山華菜</t>
  </si>
  <si>
    <t>C11級</t>
  </si>
  <si>
    <t>東桜学館高</t>
  </si>
  <si>
    <t>上島千佳</t>
  </si>
  <si>
    <t>一ツ葉高</t>
  </si>
  <si>
    <t>柏陽高</t>
  </si>
  <si>
    <t>中尾光希</t>
  </si>
  <si>
    <t>野村由宇</t>
  </si>
  <si>
    <t>澤村拓飛</t>
  </si>
  <si>
    <t>坂出高</t>
  </si>
  <si>
    <t>福岡大附大濠高</t>
  </si>
  <si>
    <t>C12級</t>
  </si>
  <si>
    <t>土橋晃生</t>
  </si>
  <si>
    <t>穎明館高</t>
  </si>
  <si>
    <t>聖セシリア女子高</t>
  </si>
  <si>
    <t>西山紗衣</t>
  </si>
  <si>
    <t>辻井美葵</t>
  </si>
  <si>
    <t>基町高</t>
  </si>
  <si>
    <t>織田江梨花</t>
  </si>
  <si>
    <t>C13級</t>
  </si>
  <si>
    <t>太田瑠衣</t>
  </si>
  <si>
    <t>日本女子大附高</t>
  </si>
  <si>
    <t>金沢西高</t>
  </si>
  <si>
    <t>松久喜保</t>
  </si>
  <si>
    <t>長良高</t>
  </si>
  <si>
    <t>前平彩希</t>
  </si>
  <si>
    <t>黒瀨このみ</t>
  </si>
  <si>
    <t>C14級</t>
  </si>
  <si>
    <t>光塩女子学院</t>
  </si>
  <si>
    <t>武井綾音</t>
  </si>
  <si>
    <t>時習館高</t>
  </si>
  <si>
    <t>立命館高</t>
  </si>
  <si>
    <t>山本真奈美</t>
  </si>
  <si>
    <t>吉賀高</t>
  </si>
  <si>
    <t>小林純真</t>
  </si>
  <si>
    <t>福岡舞鶴高</t>
  </si>
  <si>
    <t>中條真友子</t>
  </si>
  <si>
    <t>C15級</t>
  </si>
  <si>
    <t>荒木ひなた</t>
  </si>
  <si>
    <t>八千代松陰高</t>
  </si>
  <si>
    <t>小山実莉</t>
  </si>
  <si>
    <t>丸山七海</t>
  </si>
  <si>
    <t>豊丘高</t>
  </si>
  <si>
    <t>太田友理</t>
  </si>
  <si>
    <t>久留米高</t>
  </si>
  <si>
    <t>佐賀西高</t>
  </si>
  <si>
    <t>C16級</t>
  </si>
  <si>
    <t>会津高</t>
  </si>
  <si>
    <t>宇都宮中央高</t>
  </si>
  <si>
    <t>幕張総合高</t>
  </si>
  <si>
    <t>横浜立野高</t>
  </si>
  <si>
    <t>堀内楓花</t>
  </si>
  <si>
    <t>法政大二高</t>
  </si>
  <si>
    <t>守屋夏希</t>
  </si>
  <si>
    <t>愛知高</t>
  </si>
  <si>
    <t>北嵯峨高</t>
  </si>
  <si>
    <t>クラーク高</t>
  </si>
  <si>
    <t>田島大和</t>
  </si>
  <si>
    <t>生野高</t>
  </si>
  <si>
    <t>桑原光里</t>
  </si>
  <si>
    <t>鳥栖高</t>
  </si>
  <si>
    <t>C17級</t>
  </si>
  <si>
    <t>花北青雲高</t>
  </si>
  <si>
    <t>秋葉菜乃葉</t>
  </si>
  <si>
    <t>元石川高</t>
  </si>
  <si>
    <t>甲府西高</t>
  </si>
  <si>
    <t>足立未彩</t>
  </si>
  <si>
    <t>諏訪二葉高</t>
  </si>
  <si>
    <t>杉浦来実</t>
  </si>
  <si>
    <t>北柚紀</t>
  </si>
  <si>
    <t>桜花学園高</t>
  </si>
  <si>
    <t>開明高</t>
  </si>
  <si>
    <t>C18級</t>
  </si>
  <si>
    <t>小田倉苗</t>
  </si>
  <si>
    <t>大宮高</t>
  </si>
  <si>
    <t>文京高</t>
  </si>
  <si>
    <t>甲府東高</t>
  </si>
  <si>
    <t>森本歩未</t>
  </si>
  <si>
    <t>山村華乃音</t>
  </si>
  <si>
    <t>橋本美唯菜</t>
  </si>
  <si>
    <t>C19級</t>
  </si>
  <si>
    <t>西村結奈</t>
  </si>
  <si>
    <t>小池結美</t>
  </si>
  <si>
    <t>東京農大三高</t>
  </si>
  <si>
    <t>橘田美咲</t>
  </si>
  <si>
    <t>池田高</t>
  </si>
  <si>
    <t>北須磨高</t>
  </si>
  <si>
    <t>村上咲希</t>
  </si>
  <si>
    <t>唐津東高</t>
  </si>
  <si>
    <t>C20級</t>
  </si>
  <si>
    <t>桂島虹子</t>
  </si>
  <si>
    <t>中川羽奈</t>
  </si>
  <si>
    <t>五嶋遙</t>
  </si>
  <si>
    <t>神奈川総合高</t>
  </si>
  <si>
    <t>金沢二水高</t>
  </si>
  <si>
    <t>浜松学芸高</t>
  </si>
  <si>
    <t>石橋玲奈</t>
  </si>
  <si>
    <t>開邦高</t>
  </si>
  <si>
    <t>C21級</t>
  </si>
  <si>
    <t>國學院高</t>
  </si>
  <si>
    <t>駿台甲府高</t>
  </si>
  <si>
    <t>式部晴</t>
  </si>
  <si>
    <t>伊藤海緒</t>
  </si>
  <si>
    <t>松下蒼歩</t>
  </si>
  <si>
    <t>宮城莉子</t>
  </si>
  <si>
    <t>D1級</t>
  </si>
  <si>
    <t>遺愛女子高</t>
  </si>
  <si>
    <t>品川咲月</t>
  </si>
  <si>
    <t>大黒ひかる</t>
  </si>
  <si>
    <t>辰巳野咲優</t>
  </si>
  <si>
    <t>谷口陽菜花</t>
  </si>
  <si>
    <t>梶谷京加</t>
  </si>
  <si>
    <t>田中優月</t>
  </si>
  <si>
    <t>手島瑠那</t>
  </si>
  <si>
    <t>玉名女子高</t>
  </si>
  <si>
    <t>島袋慧</t>
  </si>
  <si>
    <t>球陽高</t>
  </si>
  <si>
    <t>D2級</t>
  </si>
  <si>
    <t>札幌大谷高</t>
  </si>
  <si>
    <t>鴫原茉奈</t>
  </si>
  <si>
    <t>中山柚佳</t>
  </si>
  <si>
    <t>西川真央</t>
  </si>
  <si>
    <t>鈴木希実</t>
  </si>
  <si>
    <t>内藤理心</t>
  </si>
  <si>
    <t>出石奏</t>
  </si>
  <si>
    <t>山村恭子</t>
  </si>
  <si>
    <t>帖佐怜奈</t>
  </si>
  <si>
    <t>向陽高</t>
  </si>
  <si>
    <t>D3級</t>
  </si>
  <si>
    <t>岡田士撞</t>
  </si>
  <si>
    <t>小川聖央</t>
  </si>
  <si>
    <t>佐々木栞</t>
  </si>
  <si>
    <t>浜野冴梨</t>
  </si>
  <si>
    <t>山田椛瑛</t>
  </si>
  <si>
    <t>森玉佳歩</t>
  </si>
  <si>
    <t>常翔啓光学園高</t>
  </si>
  <si>
    <t>田渕暖人</t>
  </si>
  <si>
    <t>井上優芽</t>
  </si>
  <si>
    <t>D4級</t>
  </si>
  <si>
    <t>倉嶋那奈</t>
  </si>
  <si>
    <t>講堂凛</t>
  </si>
  <si>
    <t>関晴香</t>
  </si>
  <si>
    <t>小笹悠月</t>
  </si>
  <si>
    <t>同志社女子高</t>
  </si>
  <si>
    <t>水谷里香</t>
  </si>
  <si>
    <t>舞子高</t>
  </si>
  <si>
    <t>青翔高</t>
  </si>
  <si>
    <t>井﨑理乃</t>
  </si>
  <si>
    <t>熊谷結衣</t>
  </si>
  <si>
    <t>中津北高</t>
  </si>
  <si>
    <t>福島葵衣</t>
  </si>
  <si>
    <t>D5級</t>
  </si>
  <si>
    <t>中山華音</t>
  </si>
  <si>
    <t>髙橋理愛</t>
  </si>
  <si>
    <t>小池柚季</t>
  </si>
  <si>
    <t>有坂日夏乃</t>
  </si>
  <si>
    <t>稲垣まちこ</t>
  </si>
  <si>
    <t>梅花高</t>
  </si>
  <si>
    <t>宝塚高</t>
  </si>
  <si>
    <t>井原もも</t>
  </si>
  <si>
    <t>久留米信愛高</t>
  </si>
  <si>
    <t>田中節</t>
  </si>
  <si>
    <t>川畑雅</t>
  </si>
  <si>
    <t>D6級</t>
  </si>
  <si>
    <t>勅使河原凛</t>
  </si>
  <si>
    <t>中野咲希</t>
  </si>
  <si>
    <t>池田遥子</t>
  </si>
  <si>
    <t>山本莉颯</t>
  </si>
  <si>
    <t>木村幸太郎</t>
  </si>
  <si>
    <t>市伊丹高</t>
  </si>
  <si>
    <t>味本一軌</t>
  </si>
  <si>
    <t>濱田聖</t>
  </si>
  <si>
    <t>下地紗月</t>
  </si>
  <si>
    <t>D7級</t>
  </si>
  <si>
    <t>佐々木望結</t>
  </si>
  <si>
    <t>小川結凪</t>
  </si>
  <si>
    <t>浦部希</t>
  </si>
  <si>
    <t>羽田野結鈴</t>
  </si>
  <si>
    <t>佐藤夢希</t>
  </si>
  <si>
    <t>秋留台高</t>
  </si>
  <si>
    <t>田中結羽</t>
  </si>
  <si>
    <t>智弁学園和歌山高</t>
  </si>
  <si>
    <t>岡山朝日高</t>
  </si>
  <si>
    <t>福岡中央高</t>
  </si>
  <si>
    <t>奥原宗太郎</t>
  </si>
  <si>
    <t>安田百花</t>
  </si>
  <si>
    <t>D8級</t>
  </si>
  <si>
    <t>村上來愛</t>
  </si>
  <si>
    <t>高橋惺菜</t>
  </si>
  <si>
    <t>小松川高</t>
  </si>
  <si>
    <t>仁愛女子高</t>
  </si>
  <si>
    <t>末武あい</t>
  </si>
  <si>
    <t>久保田和希</t>
  </si>
  <si>
    <t>大阪青凌高</t>
  </si>
  <si>
    <t>泉陽高</t>
  </si>
  <si>
    <t>葺合高</t>
  </si>
  <si>
    <t>川上真奈</t>
  </si>
  <si>
    <t>江西瑞子</t>
  </si>
  <si>
    <t>国武沙奈</t>
  </si>
  <si>
    <t>押川眞乃</t>
  </si>
  <si>
    <t>D9級</t>
  </si>
  <si>
    <t>山口寧々ロビン</t>
  </si>
  <si>
    <t>一條莉緒</t>
  </si>
  <si>
    <t>井口桜希</t>
  </si>
  <si>
    <t>川越紗恵華</t>
  </si>
  <si>
    <t>小牧由葦</t>
  </si>
  <si>
    <t>小森麻衣耶</t>
  </si>
  <si>
    <t>いちりつ高</t>
  </si>
  <si>
    <t>須磨学園高</t>
  </si>
  <si>
    <t>佐々木あいり</t>
  </si>
  <si>
    <t>田中元瑛</t>
  </si>
  <si>
    <t>D10級</t>
  </si>
  <si>
    <t>米澤杏梨</t>
  </si>
  <si>
    <t>古閑理伊奈</t>
  </si>
  <si>
    <t>田原桜海</t>
  </si>
  <si>
    <t>菅野心菜</t>
  </si>
  <si>
    <t>戸田百咲</t>
  </si>
  <si>
    <t>田中優衣</t>
  </si>
  <si>
    <t>東福岡高</t>
  </si>
  <si>
    <t>高木志帆</t>
  </si>
  <si>
    <t>仲座広隆</t>
  </si>
  <si>
    <t>D11級</t>
  </si>
  <si>
    <t>大石耀</t>
  </si>
  <si>
    <t>秋田北高</t>
  </si>
  <si>
    <t>取手聖徳女子高</t>
  </si>
  <si>
    <t>船橋高</t>
  </si>
  <si>
    <t>西川実乃里</t>
  </si>
  <si>
    <t>井野元美緒</t>
  </si>
  <si>
    <t>要力愛</t>
  </si>
  <si>
    <t>聖隷クリストファー</t>
  </si>
  <si>
    <t>片山晴遥</t>
  </si>
  <si>
    <t>舘麻奈美</t>
  </si>
  <si>
    <t>西川紗希</t>
  </si>
  <si>
    <t>河野華奈</t>
  </si>
  <si>
    <t>D12級</t>
  </si>
  <si>
    <t>篠原瑠那</t>
  </si>
  <si>
    <t>加藤公平</t>
  </si>
  <si>
    <t>金子友莉亜</t>
  </si>
  <si>
    <t>東葛飾高</t>
  </si>
  <si>
    <t>萩原柚芭</t>
  </si>
  <si>
    <t>大川育実</t>
  </si>
  <si>
    <t>甲陵高</t>
  </si>
  <si>
    <t>暁高</t>
  </si>
  <si>
    <t>谷川和帆</t>
  </si>
  <si>
    <t>星林高</t>
  </si>
  <si>
    <t>國廣春花</t>
  </si>
  <si>
    <t>和田透真</t>
  </si>
  <si>
    <t>人吉高</t>
  </si>
  <si>
    <t>D13級</t>
  </si>
  <si>
    <t>札幌東高</t>
  </si>
  <si>
    <t>篠田希羽</t>
  </si>
  <si>
    <t>谷橋柚羽</t>
  </si>
  <si>
    <t>佐々木美優</t>
  </si>
  <si>
    <t>西遠女子学園</t>
  </si>
  <si>
    <t>東海大静岡翔洋高</t>
  </si>
  <si>
    <t>的場音緒</t>
  </si>
  <si>
    <t>白陵高</t>
  </si>
  <si>
    <t>入江春菜</t>
  </si>
  <si>
    <t>黒柳穂華</t>
  </si>
  <si>
    <t>神村学園高等部</t>
  </si>
  <si>
    <t>大分上野丘高</t>
  </si>
  <si>
    <t>楠原愛歩</t>
  </si>
  <si>
    <t>伊波耕平</t>
  </si>
  <si>
    <t>D14級</t>
  </si>
  <si>
    <t>山中麻由奈</t>
  </si>
  <si>
    <t>吉祥女子高</t>
  </si>
  <si>
    <t>赤坂結理奈</t>
  </si>
  <si>
    <t>黒瀧結衣</t>
  </si>
  <si>
    <t>三原伊織</t>
  </si>
  <si>
    <t>磐田東高</t>
  </si>
  <si>
    <t>大嶽愛来</t>
  </si>
  <si>
    <t>県芦屋高</t>
  </si>
  <si>
    <t>藤原由衣</t>
  </si>
  <si>
    <t>坂本彩実</t>
  </si>
  <si>
    <t>翁長采音</t>
  </si>
  <si>
    <t>D15級</t>
  </si>
  <si>
    <t>水上純美</t>
  </si>
  <si>
    <t>北星学園女子高</t>
  </si>
  <si>
    <t>関口優衣</t>
  </si>
  <si>
    <t>園田葉月</t>
  </si>
  <si>
    <t>府中高</t>
  </si>
  <si>
    <t>市野桜空</t>
  </si>
  <si>
    <t>浜松日体高</t>
  </si>
  <si>
    <t>皇學館高</t>
  </si>
  <si>
    <t>三好恵瑠奈</t>
  </si>
  <si>
    <t>加古川東高</t>
  </si>
  <si>
    <t>中川愛理</t>
  </si>
  <si>
    <t>致遠館高</t>
  </si>
  <si>
    <t>松下和奈</t>
  </si>
  <si>
    <t>川満翔愛</t>
  </si>
  <si>
    <t>D16級</t>
  </si>
  <si>
    <t>梅本羽衣</t>
  </si>
  <si>
    <t>柳井珂穂</t>
  </si>
  <si>
    <t>宇都宮紘佳</t>
  </si>
  <si>
    <t>桐朋女子高</t>
  </si>
  <si>
    <t>山川鈴</t>
  </si>
  <si>
    <t>川渕陽咲</t>
  </si>
  <si>
    <t>武生東</t>
  </si>
  <si>
    <t>川越高</t>
  </si>
  <si>
    <t>永山芽衣</t>
  </si>
  <si>
    <t>伝習館高</t>
  </si>
  <si>
    <t>増田明純</t>
  </si>
  <si>
    <t>砂川響</t>
  </si>
  <si>
    <t>D17級</t>
  </si>
  <si>
    <t>豊泉みちる</t>
  </si>
  <si>
    <t>お茶の水女子大附高</t>
  </si>
  <si>
    <t>攻玉社高</t>
  </si>
  <si>
    <t>小林颯希</t>
  </si>
  <si>
    <t>下諏訪向陽高</t>
  </si>
  <si>
    <t>加納高</t>
  </si>
  <si>
    <t>福湯毬</t>
  </si>
  <si>
    <t>前原涼美</t>
  </si>
  <si>
    <t>藤井愛莉</t>
  </si>
  <si>
    <t>博多青松高</t>
  </si>
  <si>
    <t>中堀陽太</t>
  </si>
  <si>
    <t>宮川結妃</t>
  </si>
  <si>
    <t>長浜幸汰</t>
  </si>
  <si>
    <t>D18級</t>
  </si>
  <si>
    <t>川崎愛莉</t>
  </si>
  <si>
    <t>柴田明奈</t>
  </si>
  <si>
    <t>菅波綾夏</t>
  </si>
  <si>
    <t>齋藤楓恩</t>
  </si>
  <si>
    <t>棚橋あこ</t>
  </si>
  <si>
    <t>青山陽音</t>
  </si>
  <si>
    <t>圓尾明日香</t>
  </si>
  <si>
    <t>田村萌梨</t>
  </si>
  <si>
    <t>串木野高</t>
  </si>
  <si>
    <t>D19級</t>
  </si>
  <si>
    <t>依田奈緒子</t>
  </si>
  <si>
    <t>与野高</t>
  </si>
  <si>
    <t>黒田朱莉</t>
  </si>
  <si>
    <t>柳田桃佳</t>
  </si>
  <si>
    <t>南陽高</t>
  </si>
  <si>
    <t>前田悠</t>
  </si>
  <si>
    <t>桜和高</t>
  </si>
  <si>
    <t>石見智翠館高</t>
  </si>
  <si>
    <t>倉敷天城高</t>
  </si>
  <si>
    <t>須藤真緒</t>
  </si>
  <si>
    <t>朝吹真子</t>
  </si>
  <si>
    <t>三重乃乃花</t>
  </si>
  <si>
    <t>松川侑愛</t>
  </si>
  <si>
    <t>D20級</t>
  </si>
  <si>
    <t>田口璃來</t>
  </si>
  <si>
    <t>松本絆那</t>
  </si>
  <si>
    <t>追手門学院大手前</t>
  </si>
  <si>
    <t>齋藤武蔵</t>
  </si>
  <si>
    <t>小林亜衣里</t>
  </si>
  <si>
    <t>永木理紗</t>
  </si>
  <si>
    <t>松隈結茄</t>
  </si>
  <si>
    <t>麻生幸輝</t>
  </si>
  <si>
    <t>伊良皆泰斗</t>
  </si>
  <si>
    <t>D21級</t>
  </si>
  <si>
    <t>菊地菜月</t>
  </si>
  <si>
    <t>吉田朋</t>
  </si>
  <si>
    <t>青木萌々花</t>
  </si>
  <si>
    <t>拓殖大第一高</t>
  </si>
  <si>
    <t>米紬希</t>
  </si>
  <si>
    <t>Ｓ高</t>
  </si>
  <si>
    <t>望月香里</t>
  </si>
  <si>
    <t>田中美紗希</t>
  </si>
  <si>
    <t>岸和田高</t>
  </si>
  <si>
    <t>帝塚山学院高</t>
  </si>
  <si>
    <t>藤田真帆</t>
  </si>
  <si>
    <t>中藤夕紀</t>
  </si>
  <si>
    <t>鹿島朝日高</t>
  </si>
  <si>
    <t>D22級</t>
  </si>
  <si>
    <t>高野杏菜</t>
  </si>
  <si>
    <t>雨宮優衣花</t>
  </si>
  <si>
    <t>橋本幸侑</t>
  </si>
  <si>
    <t>六本木悟</t>
  </si>
  <si>
    <t>髙瀬仁衣奈</t>
  </si>
  <si>
    <t>井手菜月</t>
  </si>
  <si>
    <t>青雲高</t>
  </si>
  <si>
    <t>鈴木田紗慧</t>
  </si>
  <si>
    <t>井岡司緒</t>
  </si>
  <si>
    <t>D23級</t>
  </si>
  <si>
    <t>染谷朱音</t>
  </si>
  <si>
    <t>江北高</t>
  </si>
  <si>
    <t>捜真女学校</t>
  </si>
  <si>
    <t>荒木梢</t>
  </si>
  <si>
    <t>千国彩夏</t>
  </si>
  <si>
    <t>井田知里</t>
  </si>
  <si>
    <t>東海大付大阪仰星高</t>
  </si>
  <si>
    <t>青木梨緒</t>
  </si>
  <si>
    <t>田中陽</t>
  </si>
  <si>
    <t>山本愛実</t>
  </si>
  <si>
    <t>井岡史緒</t>
  </si>
  <si>
    <t>かるた会</t>
  </si>
  <si>
    <t>順位</t>
  </si>
  <si>
    <t>所属</t>
  </si>
  <si>
    <t>優　勝</t>
  </si>
  <si>
    <t>準優勝</t>
  </si>
  <si>
    <t>３　位</t>
  </si>
  <si>
    <t>４　位</t>
  </si>
  <si>
    <t>C1級　31名</t>
  </si>
  <si>
    <t>A級　62名</t>
  </si>
  <si>
    <t>C2級　31名</t>
  </si>
  <si>
    <t>B1級　61名</t>
  </si>
  <si>
    <t>C3級　29名</t>
  </si>
  <si>
    <t>C4級　30名</t>
  </si>
  <si>
    <t>B2級　60名</t>
  </si>
  <si>
    <t>C5級　31名</t>
  </si>
  <si>
    <t>C6級　31名</t>
  </si>
  <si>
    <t>B3級　60名</t>
  </si>
  <si>
    <t>C7級　29名</t>
  </si>
  <si>
    <t>C8級　30名</t>
  </si>
  <si>
    <t>B4級　59名</t>
  </si>
  <si>
    <t>C9級　30名</t>
  </si>
  <si>
    <t>C10級　30名</t>
  </si>
  <si>
    <t>B5級　60名</t>
  </si>
  <si>
    <t>C11級　29名</t>
  </si>
  <si>
    <t>C12級　28名</t>
  </si>
  <si>
    <t>C13級　30名</t>
  </si>
  <si>
    <t>C14級　29名</t>
  </si>
  <si>
    <t>C15級　30名</t>
  </si>
  <si>
    <t>C16級　30名</t>
  </si>
  <si>
    <t>C17級　30名</t>
  </si>
  <si>
    <t>C18級　30名</t>
  </si>
  <si>
    <t>C19級　30名</t>
  </si>
  <si>
    <t>C20級　30名</t>
  </si>
  <si>
    <t>C21級　30名</t>
  </si>
  <si>
    <t>D1級　31名</t>
  </si>
  <si>
    <t>D2級　31名</t>
  </si>
  <si>
    <t>D3級　31名</t>
  </si>
  <si>
    <t>D4級　31名</t>
  </si>
  <si>
    <t>D5級　30名</t>
  </si>
  <si>
    <t>D6級　31名</t>
  </si>
  <si>
    <t>D7級　32名</t>
  </si>
  <si>
    <t>D8級　32名</t>
  </si>
  <si>
    <t>D9級　30名</t>
  </si>
  <si>
    <t>D10級　30名</t>
  </si>
  <si>
    <t>D11級　30名</t>
  </si>
  <si>
    <t>D12級　30名</t>
  </si>
  <si>
    <t>D13級　31名</t>
  </si>
  <si>
    <t>D14級　31名</t>
  </si>
  <si>
    <t>D15級　31名</t>
  </si>
  <si>
    <t>D16級　31名</t>
  </si>
  <si>
    <t>D17級　30名</t>
  </si>
  <si>
    <t>D18級　30名</t>
  </si>
  <si>
    <t>D19級　28名</t>
  </si>
  <si>
    <t>D20級　31名</t>
  </si>
  <si>
    <t>D21級　31名</t>
  </si>
  <si>
    <t>D22級　31名</t>
  </si>
  <si>
    <t>D23級　31名</t>
  </si>
  <si>
    <t>所属会</t>
  </si>
  <si>
    <t>フリガナ</t>
  </si>
  <si>
    <t>合計</t>
  </si>
  <si>
    <t>所属会
ID</t>
  </si>
  <si>
    <t>申込み
代表者</t>
  </si>
  <si>
    <t>申込み
連絡先</t>
  </si>
  <si>
    <t>エクセルに貼り付けて、
あきのた会計に共有する</t>
  </si>
  <si>
    <t>大会参加料</t>
  </si>
  <si>
    <t>振込金額</t>
  </si>
  <si>
    <t>内訳</t>
  </si>
  <si>
    <t>STEP❶：このシートをコピーして複製する
STEP❷：複製したシートの必要な部分を選択してコピーして値のみ貼り付け　
　　　　（数式ではなく普通の数字で入力された状態にする）
STEP❸：不要な欄を削除する
　　　　（大津あきのた会内で支払いをしているものも削除）</t>
  </si>
  <si>
    <t>※最新版に自動で更新されています</t>
  </si>
  <si>
    <t>▼速報シート①▼</t>
  </si>
  <si>
    <t>速報シートの70行目までの「https」を含む行だけを抽出しています。（D2セルは「速報シート①」を、D72セルは「速報シート②」を参照しています。）</t>
  </si>
  <si>
    <t>▼速報シート②▼</t>
  </si>
  <si>
    <t>申込代表者</t>
  </si>
  <si>
    <t>連絡先</t>
  </si>
  <si>
    <t>電話番号</t>
  </si>
  <si>
    <t>４　位</t>
    <phoneticPr fontId="18"/>
  </si>
  <si>
    <t>上原美翔 A級公認読手</t>
  </si>
  <si>
    <t>原佳子 B級公認読手</t>
  </si>
  <si>
    <t>ピアザ淡海</t>
  </si>
  <si>
    <t>廣本幸紀 専任読手</t>
  </si>
  <si>
    <t>渡部達也 B級公認読手</t>
  </si>
  <si>
    <t>中野純也 A級公認読手</t>
  </si>
  <si>
    <t>プリンスホテル（高砂）</t>
  </si>
  <si>
    <t>辻村泰聡 B級公認読手</t>
  </si>
  <si>
    <t>プリンスホテル（淡海）</t>
  </si>
  <si>
    <t>小地沢麻樹 B級公認読手</t>
  </si>
  <si>
    <t>高洲慶一 B級公認読手</t>
  </si>
  <si>
    <t>滋賀県立武道館（大会議室）</t>
  </si>
  <si>
    <t>森達哉 A級公認読手</t>
  </si>
  <si>
    <t>北野律子 A級公認読手</t>
  </si>
  <si>
    <t>滋賀県立武道館（柔道場）</t>
  </si>
  <si>
    <t>寺井萌乃 A級公認読手</t>
  </si>
  <si>
    <t>塚口井公子 A級公認読手</t>
  </si>
  <si>
    <t>コラボしが21</t>
  </si>
  <si>
    <t>小阪暖野 B級公認読手</t>
  </si>
  <si>
    <t>小田桐春佳 B級公認読手</t>
  </si>
  <si>
    <t>圓満院門跡</t>
  </si>
  <si>
    <t>小西淑子 A級公認読手</t>
  </si>
  <si>
    <t>松村賢二 B級公認読手</t>
  </si>
  <si>
    <t>大津市民文化会館</t>
  </si>
  <si>
    <t>伊藤育世 A級公認読手</t>
  </si>
  <si>
    <t>鎰谷節 A級公認読手</t>
  </si>
  <si>
    <t>びわ湖大津館</t>
  </si>
  <si>
    <t>吉田公平 A級公認読手</t>
  </si>
  <si>
    <t>桑山知美 A級公認読手</t>
  </si>
  <si>
    <t>滋賀市民センター</t>
  </si>
  <si>
    <t>田井きよ美 A級公認読手</t>
  </si>
  <si>
    <t>和泉谷妙子 B級公認読手</t>
  </si>
  <si>
    <t>よいこのもり保育園</t>
  </si>
  <si>
    <t>北村善則 A級公認読手</t>
  </si>
  <si>
    <t>楠田倫之 専任読手</t>
  </si>
  <si>
    <t>勧学館 朝日</t>
  </si>
  <si>
    <t>横谷裕三子 専任読手</t>
  </si>
  <si>
    <t>木本景子 A級公認読手</t>
  </si>
  <si>
    <t>勧学館 浦安</t>
  </si>
  <si>
    <t>個人戦</t>
  </si>
  <si>
    <t>松永賢 A級公認読手</t>
  </si>
  <si>
    <t>団体戦</t>
  </si>
  <si>
    <t>6回戦</t>
  </si>
  <si>
    <t>5回戦</t>
  </si>
  <si>
    <t>4回戦</t>
  </si>
  <si>
    <t>3回戦</t>
  </si>
  <si>
    <t>2回戦</t>
  </si>
  <si>
    <t>1回戦</t>
  </si>
  <si>
    <t>会場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</si>
</sst>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名&quot;"/>
    <numFmt numFmtId="177" formatCode="#,##0&quot;円&quot;"/>
    <numFmt numFmtId="178" formatCode="#,##0&quot;円&quot;;\-#,##0&quot;円&quot;;;"/>
  </numFmts>
  <fonts count="23">
    <font>
      <sz val="10"/>
      <color rgb="FF000000"/>
      <name val="Arial"/>
      <scheme val="minor"/>
    </font>
    <font>
      <sz val="10"/>
      <color theme="1"/>
      <name val="Arial"/>
      <family val="2"/>
      <scheme val="minor"/>
    </font>
    <font>
      <b/>
      <sz val="10"/>
      <color theme="1"/>
      <name val="Arial"/>
      <family val="2"/>
      <scheme val="minor"/>
    </font>
    <font>
      <sz val="10"/>
      <name val="Arial"/>
      <family val="2"/>
    </font>
    <font>
      <b/>
      <sz val="10"/>
      <color rgb="FFFFFFFF"/>
      <name val="Arial"/>
      <family val="2"/>
      <scheme val="minor"/>
    </font>
    <font>
      <sz val="10"/>
      <color theme="1"/>
      <name val="Arial"/>
      <family val="2"/>
    </font>
    <font>
      <sz val="12"/>
      <color theme="1"/>
      <name val="Arial"/>
      <family val="2"/>
      <scheme val="minor"/>
    </font>
    <font>
      <b/>
      <sz val="13"/>
      <color theme="1"/>
      <name val="Arial"/>
      <family val="2"/>
    </font>
    <font>
      <sz val="13"/>
      <color theme="1"/>
      <name val="Arial"/>
      <family val="2"/>
    </font>
    <font>
      <sz val="11"/>
      <color theme="1"/>
      <name val="Arial"/>
      <family val="2"/>
    </font>
    <font>
      <b/>
      <sz val="12"/>
      <color theme="1"/>
      <name val="Arial"/>
      <family val="2"/>
      <scheme val="minor"/>
    </font>
    <font>
      <b/>
      <sz val="10"/>
      <color theme="1"/>
      <name val="Arial"/>
      <family val="2"/>
    </font>
    <font>
      <sz val="12"/>
      <color rgb="FF242424"/>
      <name val="Inherit"/>
    </font>
    <font>
      <sz val="12"/>
      <color rgb="FF000000"/>
      <name val="Inherit"/>
    </font>
    <font>
      <sz val="12"/>
      <color rgb="FF242424"/>
      <name val="Arial"/>
      <family val="2"/>
      <scheme val="minor"/>
    </font>
    <font>
      <u/>
      <sz val="10"/>
      <color rgb="FF0000FF"/>
      <name val="Arial"/>
      <family val="2"/>
    </font>
    <font>
      <u/>
      <sz val="10"/>
      <color rgb="FF0000FF"/>
      <name val="Arial"/>
      <family val="2"/>
    </font>
    <font>
      <u/>
      <sz val="10"/>
      <color rgb="FF0000FF"/>
      <name val="Arial"/>
      <family val="2"/>
    </font>
    <font>
      <sz val="6"/>
      <name val="Arial"/>
      <family val="3"/>
      <charset val="128"/>
      <scheme val="minor"/>
    </font>
    <font>
      <sz val="13"/>
      <color theme="1"/>
      <name val="ＭＳ ゴシック"/>
      <family val="3"/>
      <charset val="128"/>
    </font>
    <font>
      <sz val="10"/>
      <color rgb="FF000000"/>
      <name val="Arial"/>
      <family val="2"/>
      <scheme val="minor"/>
    </font>
    <font>
      <sz val="10"/>
      <color theme="1"/>
      <name val="&quot;ＭＳ 明朝&quot;"/>
      <family val="3"/>
      <charset val="128"/>
    </font>
    <font>
      <b/>
      <sz val="10"/>
      <color theme="1"/>
      <name val="&quot;ＭＳ 明朝&quot;"/>
      <family val="3"/>
      <charset val="128"/>
    </font>
  </fonts>
  <fills count="11">
    <fill>
      <patternFill patternType="none"/>
    </fill>
    <fill>
      <patternFill patternType="gray125"/>
    </fill>
    <fill>
      <patternFill patternType="solid">
        <fgColor rgb="FFF3F3F3"/>
        <bgColor rgb="FFF3F3F3"/>
      </patternFill>
    </fill>
    <fill>
      <patternFill patternType="solid">
        <fgColor rgb="FF134F5C"/>
        <bgColor rgb="FF134F5C"/>
      </patternFill>
    </fill>
    <fill>
      <patternFill patternType="solid">
        <fgColor rgb="FFFFF2CC"/>
        <bgColor rgb="FFFFF2CC"/>
      </patternFill>
    </fill>
    <fill>
      <patternFill patternType="solid">
        <fgColor rgb="FF000000"/>
        <bgColor rgb="FF000000"/>
      </patternFill>
    </fill>
    <fill>
      <patternFill patternType="solid">
        <fgColor rgb="FFD9EAD3"/>
        <bgColor rgb="FFD9EAD3"/>
      </patternFill>
    </fill>
    <fill>
      <patternFill patternType="solid">
        <fgColor rgb="FF0B5394"/>
        <bgColor rgb="FF0B5394"/>
      </patternFill>
    </fill>
    <fill>
      <patternFill patternType="solid">
        <fgColor rgb="FFFFFFFF"/>
        <bgColor rgb="FFFFFFFF"/>
      </patternFill>
    </fill>
    <fill>
      <patternFill patternType="solid">
        <fgColor rgb="FFFCE5CD"/>
        <bgColor rgb="FFFCE5CD"/>
      </patternFill>
    </fill>
    <fill>
      <patternFill patternType="solid">
        <fgColor rgb="FFEFEFEF"/>
        <bgColor rgb="FFEFEFEF"/>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thin">
        <color rgb="FF000000"/>
      </bottom>
      <diagonal/>
    </border>
    <border>
      <left style="medium">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double">
        <color rgb="FF000000"/>
      </bottom>
      <diagonal/>
    </border>
    <border>
      <left/>
      <right/>
      <top/>
      <bottom style="double">
        <color rgb="FF000000"/>
      </bottom>
      <diagonal/>
    </border>
    <border>
      <left style="thin">
        <color rgb="FF000000"/>
      </left>
      <right style="medium">
        <color rgb="FF000000"/>
      </right>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s>
  <cellStyleXfs count="2">
    <xf numFmtId="0" fontId="0" fillId="0" borderId="0"/>
    <xf numFmtId="0" fontId="20" fillId="0" borderId="0"/>
  </cellStyleXfs>
  <cellXfs count="83">
    <xf numFmtId="0" fontId="0" fillId="0" borderId="0" xfId="0"/>
    <xf numFmtId="0" fontId="1" fillId="0" borderId="0" xfId="0" applyFont="1" applyAlignment="1">
      <alignment vertical="center"/>
    </xf>
    <xf numFmtId="0" fontId="1" fillId="0" borderId="0" xfId="0" applyFont="1"/>
    <xf numFmtId="0" fontId="1" fillId="4" borderId="0" xfId="0" applyFont="1" applyFill="1"/>
    <xf numFmtId="0" fontId="2" fillId="0" borderId="0" xfId="0" applyFont="1" applyAlignment="1">
      <alignment horizontal="center" vertical="center"/>
    </xf>
    <xf numFmtId="0" fontId="5" fillId="0" borderId="0" xfId="0" applyFont="1"/>
    <xf numFmtId="0" fontId="5" fillId="0" borderId="4" xfId="0" applyFont="1" applyBorder="1"/>
    <xf numFmtId="0" fontId="8" fillId="0" borderId="5" xfId="0" applyFont="1" applyBorder="1" applyAlignment="1">
      <alignment horizontal="center"/>
    </xf>
    <xf numFmtId="0" fontId="9" fillId="0" borderId="5" xfId="0" applyFont="1" applyBorder="1" applyAlignment="1">
      <alignment horizontal="center"/>
    </xf>
    <xf numFmtId="0" fontId="7" fillId="4" borderId="6" xfId="0" applyFont="1" applyFill="1" applyBorder="1" applyAlignment="1">
      <alignment horizontal="center"/>
    </xf>
    <xf numFmtId="0" fontId="8" fillId="0" borderId="7" xfId="0" applyFont="1" applyBorder="1" applyAlignment="1">
      <alignment horizontal="center"/>
    </xf>
    <xf numFmtId="0" fontId="5" fillId="0" borderId="7" xfId="0" applyFont="1" applyBorder="1"/>
    <xf numFmtId="0" fontId="5" fillId="0" borderId="8" xfId="0" applyFont="1" applyBorder="1"/>
    <xf numFmtId="0" fontId="8" fillId="0" borderId="3" xfId="0" applyFont="1" applyBorder="1" applyAlignment="1">
      <alignment horizontal="center"/>
    </xf>
    <xf numFmtId="0" fontId="5" fillId="0" borderId="3" xfId="0" applyFont="1" applyBorder="1"/>
    <xf numFmtId="0" fontId="8" fillId="0" borderId="2" xfId="0" applyFont="1" applyBorder="1" applyAlignment="1">
      <alignment horizontal="center"/>
    </xf>
    <xf numFmtId="0" fontId="5" fillId="0" borderId="2" xfId="0" applyFont="1" applyBorder="1"/>
    <xf numFmtId="0" fontId="5" fillId="0" borderId="9" xfId="0" applyFont="1" applyBorder="1"/>
    <xf numFmtId="0" fontId="8" fillId="0" borderId="10" xfId="0" applyFont="1" applyBorder="1" applyAlignment="1">
      <alignment horizontal="center"/>
    </xf>
    <xf numFmtId="0" fontId="5" fillId="0" borderId="10" xfId="0" applyFont="1" applyBorder="1"/>
    <xf numFmtId="0" fontId="1" fillId="0" borderId="2" xfId="0" applyFont="1" applyBorder="1"/>
    <xf numFmtId="0" fontId="2" fillId="0" borderId="0" xfId="0" applyFont="1" applyAlignment="1">
      <alignment horizontal="center"/>
    </xf>
    <xf numFmtId="176" fontId="2" fillId="0" borderId="0" xfId="0" applyNumberFormat="1" applyFont="1" applyAlignment="1">
      <alignment horizontal="center"/>
    </xf>
    <xf numFmtId="0" fontId="2" fillId="2" borderId="2" xfId="0" applyFont="1" applyFill="1" applyBorder="1" applyAlignment="1">
      <alignment horizontal="center"/>
    </xf>
    <xf numFmtId="177" fontId="1" fillId="6" borderId="2" xfId="0" applyNumberFormat="1" applyFont="1" applyFill="1" applyBorder="1" applyAlignment="1">
      <alignment horizontal="right"/>
    </xf>
    <xf numFmtId="176" fontId="1" fillId="6" borderId="2" xfId="0" applyNumberFormat="1" applyFont="1" applyFill="1" applyBorder="1" applyAlignment="1">
      <alignment horizontal="right"/>
    </xf>
    <xf numFmtId="178" fontId="1" fillId="0" borderId="2" xfId="0" applyNumberFormat="1" applyFont="1" applyBorder="1"/>
    <xf numFmtId="177" fontId="1" fillId="0" borderId="2" xfId="0" applyNumberFormat="1" applyFont="1" applyBorder="1"/>
    <xf numFmtId="176" fontId="1" fillId="0" borderId="2" xfId="0" applyNumberFormat="1" applyFont="1" applyBorder="1"/>
    <xf numFmtId="177" fontId="1" fillId="0" borderId="0" xfId="0" applyNumberFormat="1" applyFont="1"/>
    <xf numFmtId="176" fontId="1" fillId="0" borderId="0" xfId="0" applyNumberFormat="1" applyFont="1"/>
    <xf numFmtId="178" fontId="1" fillId="0" borderId="0" xfId="0" applyNumberFormat="1" applyFont="1"/>
    <xf numFmtId="0" fontId="1" fillId="0" borderId="25" xfId="0" applyFont="1" applyBorder="1"/>
    <xf numFmtId="0" fontId="1" fillId="0" borderId="26" xfId="0" applyFont="1" applyBorder="1"/>
    <xf numFmtId="178" fontId="1" fillId="0" borderId="27" xfId="0" applyNumberFormat="1" applyFont="1" applyBorder="1"/>
    <xf numFmtId="177" fontId="1" fillId="0" borderId="28" xfId="0" applyNumberFormat="1" applyFont="1" applyBorder="1"/>
    <xf numFmtId="176" fontId="1" fillId="0" borderId="3" xfId="0" applyNumberFormat="1" applyFont="1" applyBorder="1"/>
    <xf numFmtId="177" fontId="1" fillId="0" borderId="3" xfId="0" applyNumberFormat="1" applyFont="1" applyBorder="1"/>
    <xf numFmtId="176" fontId="1" fillId="0" borderId="29" xfId="0" applyNumberFormat="1" applyFont="1" applyBorder="1"/>
    <xf numFmtId="177" fontId="1" fillId="0" borderId="12" xfId="0" applyNumberFormat="1" applyFont="1" applyBorder="1"/>
    <xf numFmtId="176" fontId="1" fillId="0" borderId="27" xfId="0" applyNumberFormat="1" applyFont="1" applyBorder="1"/>
    <xf numFmtId="0" fontId="1" fillId="0" borderId="27" xfId="0" applyFont="1" applyBorder="1"/>
    <xf numFmtId="177" fontId="1" fillId="0" borderId="27" xfId="0" applyNumberFormat="1" applyFont="1" applyBorder="1"/>
    <xf numFmtId="0" fontId="10" fillId="2" borderId="0" xfId="0" applyFont="1" applyFill="1" applyAlignment="1">
      <alignment horizontal="center"/>
    </xf>
    <xf numFmtId="0" fontId="6" fillId="0" borderId="0" xfId="0" applyFont="1"/>
    <xf numFmtId="0" fontId="4" fillId="3" borderId="0" xfId="0" applyFont="1" applyFill="1" applyAlignment="1">
      <alignment vertical="center"/>
    </xf>
    <xf numFmtId="0" fontId="6" fillId="0" borderId="0" xfId="0" applyFont="1" applyAlignment="1">
      <alignment horizontal="right"/>
    </xf>
    <xf numFmtId="0" fontId="12" fillId="8" borderId="0" xfId="0" applyFont="1" applyFill="1" applyAlignment="1">
      <alignment horizontal="left"/>
    </xf>
    <xf numFmtId="0" fontId="13" fillId="8" borderId="0" xfId="0" applyFont="1" applyFill="1" applyAlignment="1">
      <alignment horizontal="left"/>
    </xf>
    <xf numFmtId="0" fontId="14" fillId="8" borderId="0" xfId="0" applyFont="1" applyFill="1" applyAlignment="1">
      <alignment horizontal="right"/>
    </xf>
    <xf numFmtId="0" fontId="4" fillId="5" borderId="0" xfId="0" applyFont="1" applyFill="1" applyAlignment="1">
      <alignment horizontal="center"/>
    </xf>
    <xf numFmtId="0" fontId="15" fillId="4" borderId="2" xfId="0" applyFont="1" applyFill="1" applyBorder="1"/>
    <xf numFmtId="0" fontId="16" fillId="0" borderId="0" xfId="0" applyFont="1"/>
    <xf numFmtId="0" fontId="17" fillId="4" borderId="2" xfId="0" applyFont="1" applyFill="1" applyBorder="1"/>
    <xf numFmtId="0" fontId="2" fillId="2" borderId="0" xfId="0" applyFont="1" applyFill="1" applyAlignment="1">
      <alignment horizontal="center"/>
    </xf>
    <xf numFmtId="0" fontId="19" fillId="0" borderId="2" xfId="0" applyFont="1" applyBorder="1" applyAlignment="1">
      <alignment horizontal="center"/>
    </xf>
    <xf numFmtId="0" fontId="2" fillId="2" borderId="1" xfId="0" applyFont="1" applyFill="1" applyBorder="1" applyAlignment="1">
      <alignment horizontal="center" vertical="center"/>
    </xf>
    <xf numFmtId="0" fontId="3" fillId="0" borderId="3" xfId="0" applyFont="1" applyBorder="1"/>
    <xf numFmtId="176" fontId="2" fillId="2" borderId="11" xfId="0" applyNumberFormat="1" applyFont="1" applyFill="1" applyBorder="1" applyAlignment="1">
      <alignment horizontal="center"/>
    </xf>
    <xf numFmtId="0" fontId="3" fillId="0" borderId="12" xfId="0" applyFont="1" applyBorder="1"/>
    <xf numFmtId="0" fontId="2" fillId="4" borderId="0" xfId="0" applyFont="1" applyFill="1" applyAlignment="1">
      <alignment vertical="center"/>
    </xf>
    <xf numFmtId="0" fontId="0" fillId="0" borderId="0" xfId="0"/>
    <xf numFmtId="0" fontId="10" fillId="0" borderId="0" xfId="0" applyFont="1" applyAlignment="1">
      <alignment horizontal="center" vertical="center"/>
    </xf>
    <xf numFmtId="0" fontId="11" fillId="2" borderId="13" xfId="0" applyFont="1" applyFill="1" applyBorder="1" applyAlignment="1">
      <alignment horizontal="center" vertical="center"/>
    </xf>
    <xf numFmtId="0" fontId="3" fillId="0" borderId="18" xfId="0" applyFont="1" applyBorder="1"/>
    <xf numFmtId="0" fontId="11" fillId="2" borderId="14" xfId="0" applyFont="1" applyFill="1" applyBorder="1" applyAlignment="1">
      <alignment horizontal="center" vertical="center"/>
    </xf>
    <xf numFmtId="0" fontId="3" fillId="0" borderId="19" xfId="0" applyFont="1" applyBorder="1"/>
    <xf numFmtId="0" fontId="11" fillId="2" borderId="15" xfId="0" applyFont="1" applyFill="1" applyBorder="1" applyAlignment="1">
      <alignment horizontal="center" vertical="center"/>
    </xf>
    <xf numFmtId="0" fontId="3" fillId="0" borderId="20" xfId="0" applyFont="1" applyBorder="1"/>
    <xf numFmtId="176" fontId="2" fillId="2" borderId="16" xfId="0" applyNumberFormat="1" applyFont="1" applyFill="1" applyBorder="1" applyAlignment="1">
      <alignment horizontal="center"/>
    </xf>
    <xf numFmtId="0" fontId="3" fillId="0" borderId="16" xfId="0" applyFont="1" applyBorder="1"/>
    <xf numFmtId="0" fontId="3" fillId="0" borderId="17" xfId="0" applyFont="1" applyBorder="1"/>
    <xf numFmtId="176" fontId="2" fillId="2" borderId="21" xfId="0" applyNumberFormat="1" applyFont="1" applyFill="1" applyBorder="1" applyAlignment="1">
      <alignment horizontal="center"/>
    </xf>
    <xf numFmtId="0" fontId="3" fillId="0" borderId="22" xfId="0" applyFont="1" applyBorder="1"/>
    <xf numFmtId="176" fontId="2" fillId="2" borderId="23" xfId="0" applyNumberFormat="1" applyFont="1" applyFill="1" applyBorder="1" applyAlignment="1">
      <alignment horizontal="center"/>
    </xf>
    <xf numFmtId="0" fontId="3" fillId="0" borderId="24" xfId="0" applyFont="1" applyBorder="1"/>
    <xf numFmtId="0" fontId="4" fillId="7" borderId="0" xfId="0" applyFont="1" applyFill="1" applyAlignment="1">
      <alignment horizontal="center"/>
    </xf>
    <xf numFmtId="0" fontId="20" fillId="0" borderId="0" xfId="1"/>
    <xf numFmtId="0" fontId="1" fillId="0" borderId="0" xfId="1" applyFont="1"/>
    <xf numFmtId="0" fontId="21" fillId="0" borderId="0" xfId="1" applyFont="1"/>
    <xf numFmtId="0" fontId="22" fillId="9" borderId="0" xfId="1" applyFont="1" applyFill="1"/>
    <xf numFmtId="0" fontId="22" fillId="6" borderId="0" xfId="1" applyFont="1" applyFill="1"/>
    <xf numFmtId="0" fontId="2" fillId="10" borderId="0" xfId="1" applyFont="1" applyFill="1" applyAlignment="1">
      <alignment horizontal="center"/>
    </xf>
  </cellXfs>
  <cellStyles count="2">
    <cellStyle name="標準" xfId="0" builtinId="0"/>
    <cellStyle name="標準 2" xfId="1" xr:uid="{0A65DB53-F99C-49FE-8701-0C1DA30232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26" Type="http://schemas.openxmlformats.org/officeDocument/2006/relationships/hyperlink" Target="https://docs.google.com/spreadsheets/d/1whaRso4QpeV0nmGqpcUOuUD2VziIUI3bPpcBU98CuJw/edit?usp=drivesdk" TargetMode="External"/><Relationship Id="rId21" Type="http://schemas.openxmlformats.org/officeDocument/2006/relationships/hyperlink" Target="https://docs.google.com/spreadsheets/d/1eHJHU2oBK2I2_UbwVQ-Nyb61XUPORAGjjcTRClr09ss/edit?usp=drivesdk" TargetMode="External"/><Relationship Id="rId34" Type="http://schemas.openxmlformats.org/officeDocument/2006/relationships/hyperlink" Target="https://docs.google.com/spreadsheets/d/1HJO-BMSCbfdR82fltJY138SIDsNv50He-k8v28haIRU/edit?usp=drivesdk" TargetMode="External"/><Relationship Id="rId42" Type="http://schemas.openxmlformats.org/officeDocument/2006/relationships/hyperlink" Target="https://docs.google.com/spreadsheets/d/1JOGZLtPIZrC_hmETVwdi76EJnDGISkThWsfVh-3rm8w/edit?usp=drivesdk" TargetMode="External"/><Relationship Id="rId47" Type="http://schemas.openxmlformats.org/officeDocument/2006/relationships/hyperlink" Target="https://docs.google.com/spreadsheets/d/1qhpJgbLW-03lJLEij2lbrPhbwEtA-SVE8xadNEN1eB8/edit?usp=drivesdk" TargetMode="External"/><Relationship Id="rId50" Type="http://schemas.openxmlformats.org/officeDocument/2006/relationships/hyperlink" Target="https://docs.google.com/spreadsheets/d/1gPz1Y1GmQGycMevCJNUMZyUwzKto9LxZ7Q5zcSsfvZA/edit?usp=drivesdk" TargetMode="External"/><Relationship Id="rId55" Type="http://schemas.openxmlformats.org/officeDocument/2006/relationships/hyperlink" Target="https://docs.google.com/spreadsheets/d/1Kmvsurer_Lp6kV_gGHqAbBlz8HH6cFgI1dwAEnoNZ2g/edit?usp=drivesdk" TargetMode="External"/><Relationship Id="rId63" Type="http://schemas.openxmlformats.org/officeDocument/2006/relationships/hyperlink" Target="https://docs.google.com/spreadsheets/d/11Ii-qxGsj-laNAFvL8sxd3sw0FfHuY-_L8GiFn6IXHg/edit?usp=drivesdk" TargetMode="External"/><Relationship Id="rId68" Type="http://schemas.openxmlformats.org/officeDocument/2006/relationships/hyperlink" Target="https://docs.google.com/spreadsheets/d/13tzA1ktx5PEp-qtKszyaWBlwGMM3wHaqvNnkZZOl2zk/edit?usp=drivesdk" TargetMode="External"/><Relationship Id="rId76" Type="http://schemas.openxmlformats.org/officeDocument/2006/relationships/hyperlink" Target="https://docs.google.com/spreadsheets/d/1whaRso4QpeV0nmGqpcUOuUD2VziIUI3bPpcBU98CuJw/edit?usp=drivesdk" TargetMode="External"/><Relationship Id="rId84" Type="http://schemas.openxmlformats.org/officeDocument/2006/relationships/hyperlink" Target="https://docs.google.com/spreadsheets/d/1HJO-BMSCbfdR82fltJY138SIDsNv50He-k8v28haIRU/edit?usp=drivesdk" TargetMode="External"/><Relationship Id="rId89" Type="http://schemas.openxmlformats.org/officeDocument/2006/relationships/hyperlink" Target="https://docs.google.com/spreadsheets/d/1kKk37hKU7f-HkclDWpUQx3SFR7vZKnZ7a-MQ0l0uUco/edit?usp=drivesdk" TargetMode="External"/><Relationship Id="rId97" Type="http://schemas.openxmlformats.org/officeDocument/2006/relationships/hyperlink" Target="https://docs.google.com/spreadsheets/d/1qhpJgbLW-03lJLEij2lbrPhbwEtA-SVE8xadNEN1eB8/edit?usp=drivesdk" TargetMode="External"/><Relationship Id="rId7" Type="http://schemas.openxmlformats.org/officeDocument/2006/relationships/hyperlink" Target="https://docs.google.com/spreadsheets/d/1Km5q6etNZVJvUXvQt7MbAm1CiPgdgD3WbuBk-IEbltE/edit?usp=drivesdk" TargetMode="External"/><Relationship Id="rId71" Type="http://schemas.openxmlformats.org/officeDocument/2006/relationships/hyperlink" Target="https://docs.google.com/spreadsheets/d/1eHJHU2oBK2I2_UbwVQ-Nyb61XUPORAGjjcTRClr09ss/edit?usp=drivesdk" TargetMode="External"/><Relationship Id="rId92" Type="http://schemas.openxmlformats.org/officeDocument/2006/relationships/hyperlink" Target="https://docs.google.com/spreadsheets/d/1JOGZLtPIZrC_hmETVwdi76EJnDGISkThWsfVh-3rm8w/edit?usp=drivesdk" TargetMode="External"/><Relationship Id="rId2" Type="http://schemas.openxmlformats.org/officeDocument/2006/relationships/hyperlink" Target="https://docs.google.com/spreadsheets/d/1VeuF6GeKUOTGwzHO-LSfwI2za36ml_zaeYaL5o2Ghhk/edit?usp=drivesdk" TargetMode="External"/><Relationship Id="rId16" Type="http://schemas.openxmlformats.org/officeDocument/2006/relationships/hyperlink" Target="https://docs.google.com/spreadsheets/d/1u5EkAfQgN-3SlSU8zM8jDrtRH35bUPYYSXIFnmO7pYY/edit?usp=drivesdk" TargetMode="External"/><Relationship Id="rId29" Type="http://schemas.openxmlformats.org/officeDocument/2006/relationships/hyperlink" Target="https://docs.google.com/spreadsheets/d/1Ywu097SnBg4bqYCvL05URfJg_Sm47GGfMftcw-3PlAc/edit?usp=drivesdk" TargetMode="External"/><Relationship Id="rId11" Type="http://schemas.openxmlformats.org/officeDocument/2006/relationships/hyperlink" Target="https://docs.google.com/spreadsheets/d/1M5eBktJ24jwZP15Z9GXIyy6b6T9ksZfU-CGiztfx2Zc/edit?usp=drivesdk" TargetMode="External"/><Relationship Id="rId24" Type="http://schemas.openxmlformats.org/officeDocument/2006/relationships/hyperlink" Target="https://docs.google.com/spreadsheets/d/1_1cOeimbnamQ3N5wYwa3h59ugQ3VU1w7gBsjeAdeRZM/edit?usp=drivesdk" TargetMode="External"/><Relationship Id="rId32" Type="http://schemas.openxmlformats.org/officeDocument/2006/relationships/hyperlink" Target="https://docs.google.com/spreadsheets/d/1Ejaz54ZsYejnxftjfLfkRpgHsR9G3dA5jIxdLDrxHxI/edit?usp=drivesdk" TargetMode="External"/><Relationship Id="rId37" Type="http://schemas.openxmlformats.org/officeDocument/2006/relationships/hyperlink" Target="https://docs.google.com/spreadsheets/d/19G3gNmK4fVXNo9dP1a_zD4DnwMAdDWztj2D0W7VUfuc/edit?usp=drivesdk" TargetMode="External"/><Relationship Id="rId40" Type="http://schemas.openxmlformats.org/officeDocument/2006/relationships/hyperlink" Target="https://docs.google.com/spreadsheets/d/1N-hCJa3jXN0EdoGW-EjUaRQnajJAsAqzwbpJ98_D5s0/edit?usp=drivesdk" TargetMode="External"/><Relationship Id="rId45" Type="http://schemas.openxmlformats.org/officeDocument/2006/relationships/hyperlink" Target="https://docs.google.com/spreadsheets/d/1RFH2Av3Tm_RqpN0fq7wexCn0KQV4MwyE8G0TMvVJvrk/edit?usp=drivesdk" TargetMode="External"/><Relationship Id="rId53" Type="http://schemas.openxmlformats.org/officeDocument/2006/relationships/hyperlink" Target="https://docs.google.com/spreadsheets/d/1Vf0-Zf5QXkKWI5TXBv-pwobDXPRbtWrTvnpwUqYjTZA/edit?usp=drivesdk" TargetMode="External"/><Relationship Id="rId58" Type="http://schemas.openxmlformats.org/officeDocument/2006/relationships/hyperlink" Target="https://docs.google.com/spreadsheets/d/1BhVSucEAj1wo7CpB5JE7KlLSrNVdFxF7YIoDXXy5DFo/edit?usp=drivesdk" TargetMode="External"/><Relationship Id="rId66" Type="http://schemas.openxmlformats.org/officeDocument/2006/relationships/hyperlink" Target="https://docs.google.com/spreadsheets/d/1u5EkAfQgN-3SlSU8zM8jDrtRH35bUPYYSXIFnmO7pYY/edit?usp=drivesdk" TargetMode="External"/><Relationship Id="rId74" Type="http://schemas.openxmlformats.org/officeDocument/2006/relationships/hyperlink" Target="https://docs.google.com/spreadsheets/d/1_1cOeimbnamQ3N5wYwa3h59ugQ3VU1w7gBsjeAdeRZM/edit?usp=drivesdk" TargetMode="External"/><Relationship Id="rId79" Type="http://schemas.openxmlformats.org/officeDocument/2006/relationships/hyperlink" Target="https://docs.google.com/spreadsheets/d/1Ywu097SnBg4bqYCvL05URfJg_Sm47GGfMftcw-3PlAc/edit?usp=drivesdk" TargetMode="External"/><Relationship Id="rId87" Type="http://schemas.openxmlformats.org/officeDocument/2006/relationships/hyperlink" Target="https://docs.google.com/spreadsheets/d/19G3gNmK4fVXNo9dP1a_zD4DnwMAdDWztj2D0W7VUfuc/edit?usp=drivesdk" TargetMode="External"/><Relationship Id="rId5" Type="http://schemas.openxmlformats.org/officeDocument/2006/relationships/hyperlink" Target="https://docs.google.com/spreadsheets/d/1Kmvsurer_Lp6kV_gGHqAbBlz8HH6cFgI1dwAEnoNZ2g/edit?usp=drivesdk" TargetMode="External"/><Relationship Id="rId61" Type="http://schemas.openxmlformats.org/officeDocument/2006/relationships/hyperlink" Target="https://docs.google.com/spreadsheets/d/1M5eBktJ24jwZP15Z9GXIyy6b6T9ksZfU-CGiztfx2Zc/edit?usp=drivesdk" TargetMode="External"/><Relationship Id="rId82" Type="http://schemas.openxmlformats.org/officeDocument/2006/relationships/hyperlink" Target="https://docs.google.com/spreadsheets/d/1Ejaz54ZsYejnxftjfLfkRpgHsR9G3dA5jIxdLDrxHxI/edit?usp=drivesdk" TargetMode="External"/><Relationship Id="rId90" Type="http://schemas.openxmlformats.org/officeDocument/2006/relationships/hyperlink" Target="https://docs.google.com/spreadsheets/d/1N-hCJa3jXN0EdoGW-EjUaRQnajJAsAqzwbpJ98_D5s0/edit?usp=drivesdk" TargetMode="External"/><Relationship Id="rId95" Type="http://schemas.openxmlformats.org/officeDocument/2006/relationships/hyperlink" Target="https://docs.google.com/spreadsheets/d/1RFH2Av3Tm_RqpN0fq7wexCn0KQV4MwyE8G0TMvVJvrk/edit?usp=drivesdk" TargetMode="External"/><Relationship Id="rId19" Type="http://schemas.openxmlformats.org/officeDocument/2006/relationships/hyperlink" Target="https://docs.google.com/spreadsheets/d/1Ktp6iyvl-kklS-MZfUJ_MykMhrGukOUaNxw9FzKCxl4/edit?usp=drivesdk" TargetMode="External"/><Relationship Id="rId14" Type="http://schemas.openxmlformats.org/officeDocument/2006/relationships/hyperlink" Target="https://docs.google.com/spreadsheets/d/1M7TRvgVNWBLpyTEKRxOwK6LgCwakMitz7S6B-mW1QVo/edit?usp=drivesdk" TargetMode="External"/><Relationship Id="rId22" Type="http://schemas.openxmlformats.org/officeDocument/2006/relationships/hyperlink" Target="https://docs.google.com/spreadsheets/d/1urW4NW7aifLlnWw_WI2EYfqcHUwalIMX3pJSpuU6CTI/edit?usp=drivesdk" TargetMode="External"/><Relationship Id="rId27" Type="http://schemas.openxmlformats.org/officeDocument/2006/relationships/hyperlink" Target="https://docs.google.com/spreadsheets/d/1PmKkTSPgPf4_6waZYYpTJf24L28th49KA7jBRB7SRvs/edit?usp=drivesdk" TargetMode="External"/><Relationship Id="rId30" Type="http://schemas.openxmlformats.org/officeDocument/2006/relationships/hyperlink" Target="https://docs.google.com/spreadsheets/d/1ib6lAJGS0APjKXxC__0UonPM1KszUjR5OyENwSJha2k/edit?usp=drivesdk" TargetMode="External"/><Relationship Id="rId35" Type="http://schemas.openxmlformats.org/officeDocument/2006/relationships/hyperlink" Target="https://docs.google.com/spreadsheets/d/1VKgyMRLEFN80t5Ql1WCqryj9xpJOziaSgt0tjdZrtMc/edit?usp=drivesdk" TargetMode="External"/><Relationship Id="rId43" Type="http://schemas.openxmlformats.org/officeDocument/2006/relationships/hyperlink" Target="https://docs.google.com/spreadsheets/d/1t88Ydr2xFy_sgcFtj7-a694MR-H73o2d87CpnYs3Z3E/edit?usp=drivesdk" TargetMode="External"/><Relationship Id="rId48" Type="http://schemas.openxmlformats.org/officeDocument/2006/relationships/hyperlink" Target="https://docs.google.com/spreadsheets/d/1iv5IhTttMuqC6B8cGLWbbmBzp_wmEfY1OLYmviP9Da4/edit?usp=drivesdk" TargetMode="External"/><Relationship Id="rId56" Type="http://schemas.openxmlformats.org/officeDocument/2006/relationships/hyperlink" Target="https://docs.google.com/spreadsheets/d/19BIrSmulqEh9AXqKQdwgOUomd__wIypcOwldR9oSJtU/edit?usp=drivesdk" TargetMode="External"/><Relationship Id="rId64" Type="http://schemas.openxmlformats.org/officeDocument/2006/relationships/hyperlink" Target="https://docs.google.com/spreadsheets/d/1M7TRvgVNWBLpyTEKRxOwK6LgCwakMitz7S6B-mW1QVo/edit?usp=drivesdk" TargetMode="External"/><Relationship Id="rId69" Type="http://schemas.openxmlformats.org/officeDocument/2006/relationships/hyperlink" Target="https://docs.google.com/spreadsheets/d/1Ktp6iyvl-kklS-MZfUJ_MykMhrGukOUaNxw9FzKCxl4/edit?usp=drivesdk" TargetMode="External"/><Relationship Id="rId77" Type="http://schemas.openxmlformats.org/officeDocument/2006/relationships/hyperlink" Target="https://docs.google.com/spreadsheets/d/1PmKkTSPgPf4_6waZYYpTJf24L28th49KA7jBRB7SRvs/edit?usp=drivesdk" TargetMode="External"/><Relationship Id="rId100" Type="http://schemas.openxmlformats.org/officeDocument/2006/relationships/hyperlink" Target="https://docs.google.com/spreadsheets/d/1gPz1Y1GmQGycMevCJNUMZyUwzKto9LxZ7Q5zcSsfvZA/edit?usp=drivesdk" TargetMode="External"/><Relationship Id="rId8" Type="http://schemas.openxmlformats.org/officeDocument/2006/relationships/hyperlink" Target="https://docs.google.com/spreadsheets/d/1BhVSucEAj1wo7CpB5JE7KlLSrNVdFxF7YIoDXXy5DFo/edit?usp=drivesdk" TargetMode="External"/><Relationship Id="rId51" Type="http://schemas.openxmlformats.org/officeDocument/2006/relationships/hyperlink" Target="https://docs.google.com/spreadsheets/d/1-MZXPnBl9Wd7h4bObvRFJS_pTN5mevdSF85b-j6AOzk/edit?usp=drivesdk" TargetMode="External"/><Relationship Id="rId72" Type="http://schemas.openxmlformats.org/officeDocument/2006/relationships/hyperlink" Target="https://docs.google.com/spreadsheets/d/1urW4NW7aifLlnWw_WI2EYfqcHUwalIMX3pJSpuU6CTI/edit?usp=drivesdk" TargetMode="External"/><Relationship Id="rId80" Type="http://schemas.openxmlformats.org/officeDocument/2006/relationships/hyperlink" Target="https://docs.google.com/spreadsheets/d/1ib6lAJGS0APjKXxC__0UonPM1KszUjR5OyENwSJha2k/edit?usp=drivesdk" TargetMode="External"/><Relationship Id="rId85" Type="http://schemas.openxmlformats.org/officeDocument/2006/relationships/hyperlink" Target="https://docs.google.com/spreadsheets/d/1VKgyMRLEFN80t5Ql1WCqryj9xpJOziaSgt0tjdZrtMc/edit?usp=drivesdk" TargetMode="External"/><Relationship Id="rId93" Type="http://schemas.openxmlformats.org/officeDocument/2006/relationships/hyperlink" Target="https://docs.google.com/spreadsheets/d/1t88Ydr2xFy_sgcFtj7-a694MR-H73o2d87CpnYs3Z3E/edit?usp=drivesdk" TargetMode="External"/><Relationship Id="rId98" Type="http://schemas.openxmlformats.org/officeDocument/2006/relationships/hyperlink" Target="https://docs.google.com/spreadsheets/d/1iv5IhTttMuqC6B8cGLWbbmBzp_wmEfY1OLYmviP9Da4/edit?usp=drivesdk" TargetMode="External"/><Relationship Id="rId3" Type="http://schemas.openxmlformats.org/officeDocument/2006/relationships/hyperlink" Target="https://docs.google.com/spreadsheets/d/1Vf0-Zf5QXkKWI5TXBv-pwobDXPRbtWrTvnpwUqYjTZA/edit?usp=drivesdk" TargetMode="External"/><Relationship Id="rId12" Type="http://schemas.openxmlformats.org/officeDocument/2006/relationships/hyperlink" Target="https://docs.google.com/spreadsheets/d/1sNqCLS4ouDciEDu87MuB-7sr2veWtiBMKHhj8Ce0C4M/edit?usp=drivesdk" TargetMode="External"/><Relationship Id="rId17" Type="http://schemas.openxmlformats.org/officeDocument/2006/relationships/hyperlink" Target="https://docs.google.com/spreadsheets/d/1DRvYYIfoAjZe-UdmMcKlpTA9xwpDShbwvBMpEGxk378/edit?usp=drivesdk" TargetMode="External"/><Relationship Id="rId25" Type="http://schemas.openxmlformats.org/officeDocument/2006/relationships/hyperlink" Target="https://docs.google.com/spreadsheets/d/1GQIqFioSRCUcLIxfjMk2KYEEUU8xAo_KfKuIQA1mJDU/edit?usp=drivesdk" TargetMode="External"/><Relationship Id="rId33" Type="http://schemas.openxmlformats.org/officeDocument/2006/relationships/hyperlink" Target="https://docs.google.com/spreadsheets/d/1lZW484NQgXSojjRVO7vQcUhFVYWyLTaCKYctbKCCfUQ/edit?usp=drivesdk" TargetMode="External"/><Relationship Id="rId38" Type="http://schemas.openxmlformats.org/officeDocument/2006/relationships/hyperlink" Target="https://docs.google.com/spreadsheets/d/1E7P_OFq6gp0rCqjukImSDtdiMjYwAXzVvyxKYUEY5Vs/edit?usp=drivesdk" TargetMode="External"/><Relationship Id="rId46" Type="http://schemas.openxmlformats.org/officeDocument/2006/relationships/hyperlink" Target="https://docs.google.com/spreadsheets/d/1wdB09foCGcSEgmXzn5lY5OADXHxsBUS-pxrLXC1nu-Q/edit?usp=drivesdk" TargetMode="External"/><Relationship Id="rId59" Type="http://schemas.openxmlformats.org/officeDocument/2006/relationships/hyperlink" Target="https://docs.google.com/spreadsheets/d/1SjAdeb1zUMrHPIkdruy08Cdpv35GPoEXDjy8zscxEm4/edit?usp=drivesdk" TargetMode="External"/><Relationship Id="rId67" Type="http://schemas.openxmlformats.org/officeDocument/2006/relationships/hyperlink" Target="https://docs.google.com/spreadsheets/d/1DRvYYIfoAjZe-UdmMcKlpTA9xwpDShbwvBMpEGxk378/edit?usp=drivesdk" TargetMode="External"/><Relationship Id="rId20" Type="http://schemas.openxmlformats.org/officeDocument/2006/relationships/hyperlink" Target="https://docs.google.com/spreadsheets/d/1OpwR9I7hNZuzbsQkD0Z7-U6ojcQ0hskrVeExjZie4ss/edit?usp=drivesdk" TargetMode="External"/><Relationship Id="rId41" Type="http://schemas.openxmlformats.org/officeDocument/2006/relationships/hyperlink" Target="https://docs.google.com/spreadsheets/d/19iPFTPnZJunPd_7oUameQhwQC44WcwCPrgWyCYnO_AU/edit?usp=drivesdk" TargetMode="External"/><Relationship Id="rId54" Type="http://schemas.openxmlformats.org/officeDocument/2006/relationships/hyperlink" Target="https://docs.google.com/spreadsheets/d/1WxXyg78YgPjV2g6Maufr1gPhwjcIhEA2YlR7XoLSu-A/edit?usp=drivesdk" TargetMode="External"/><Relationship Id="rId62" Type="http://schemas.openxmlformats.org/officeDocument/2006/relationships/hyperlink" Target="https://docs.google.com/spreadsheets/d/1sNqCLS4ouDciEDu87MuB-7sr2veWtiBMKHhj8Ce0C4M/edit?usp=drivesdk" TargetMode="External"/><Relationship Id="rId70" Type="http://schemas.openxmlformats.org/officeDocument/2006/relationships/hyperlink" Target="https://docs.google.com/spreadsheets/d/1OpwR9I7hNZuzbsQkD0Z7-U6ojcQ0hskrVeExjZie4ss/edit?usp=drivesdk" TargetMode="External"/><Relationship Id="rId75" Type="http://schemas.openxmlformats.org/officeDocument/2006/relationships/hyperlink" Target="https://docs.google.com/spreadsheets/d/1GQIqFioSRCUcLIxfjMk2KYEEUU8xAo_KfKuIQA1mJDU/edit?usp=drivesdk" TargetMode="External"/><Relationship Id="rId83" Type="http://schemas.openxmlformats.org/officeDocument/2006/relationships/hyperlink" Target="https://docs.google.com/spreadsheets/d/1lZW484NQgXSojjRVO7vQcUhFVYWyLTaCKYctbKCCfUQ/edit?usp=drivesdk" TargetMode="External"/><Relationship Id="rId88" Type="http://schemas.openxmlformats.org/officeDocument/2006/relationships/hyperlink" Target="https://docs.google.com/spreadsheets/d/1E7P_OFq6gp0rCqjukImSDtdiMjYwAXzVvyxKYUEY5Vs/edit?usp=drivesdk" TargetMode="External"/><Relationship Id="rId91" Type="http://schemas.openxmlformats.org/officeDocument/2006/relationships/hyperlink" Target="https://docs.google.com/spreadsheets/d/19iPFTPnZJunPd_7oUameQhwQC44WcwCPrgWyCYnO_AU/edit?usp=drivesdk" TargetMode="External"/><Relationship Id="rId96" Type="http://schemas.openxmlformats.org/officeDocument/2006/relationships/hyperlink" Target="https://docs.google.com/spreadsheets/d/1wdB09foCGcSEgmXzn5lY5OADXHxsBUS-pxrLXC1nu-Q/edit?usp=drivesdk" TargetMode="External"/><Relationship Id="rId1" Type="http://schemas.openxmlformats.org/officeDocument/2006/relationships/hyperlink" Target="https://docs.google.com/spreadsheets/d/1-MZXPnBl9Wd7h4bObvRFJS_pTN5mevdSF85b-j6AOzk/edit?usp=drivesdk" TargetMode="External"/><Relationship Id="rId6" Type="http://schemas.openxmlformats.org/officeDocument/2006/relationships/hyperlink" Target="https://docs.google.com/spreadsheets/d/19BIrSmulqEh9AXqKQdwgOUomd__wIypcOwldR9oSJtU/edit?usp=drivesdk" TargetMode="External"/><Relationship Id="rId15" Type="http://schemas.openxmlformats.org/officeDocument/2006/relationships/hyperlink" Target="https://docs.google.com/spreadsheets/d/1QWMxzYY9-ggGQqsSN5-2Zj1l5akdKTTeaGM-X3nkvK4/edit?usp=drivesdk" TargetMode="External"/><Relationship Id="rId23" Type="http://schemas.openxmlformats.org/officeDocument/2006/relationships/hyperlink" Target="https://docs.google.com/spreadsheets/d/1Yi8rj5sGpnDAdLnDztruq1OQTmBExzLf6R57V3wm3zY/edit?usp=drivesdk" TargetMode="External"/><Relationship Id="rId28" Type="http://schemas.openxmlformats.org/officeDocument/2006/relationships/hyperlink" Target="https://docs.google.com/spreadsheets/d/1PMmqzKQovq-E4y36JxV5Bqx4lL1en5xNeWb7VCXXOv0/edit?usp=drivesdk" TargetMode="External"/><Relationship Id="rId36" Type="http://schemas.openxmlformats.org/officeDocument/2006/relationships/hyperlink" Target="https://docs.google.com/spreadsheets/d/1l5t-J90otzP49mnOQUUdYoPkw81yq_sAf2TVfQ5EwkI/edit?usp=drivesdk" TargetMode="External"/><Relationship Id="rId49" Type="http://schemas.openxmlformats.org/officeDocument/2006/relationships/hyperlink" Target="https://docs.google.com/spreadsheets/d/1G-LdkZmi__DcqEqCiPbS_DD26_o6h1hQq85hPc2HPGM/edit?usp=drivesdk" TargetMode="External"/><Relationship Id="rId57" Type="http://schemas.openxmlformats.org/officeDocument/2006/relationships/hyperlink" Target="https://docs.google.com/spreadsheets/d/1Km5q6etNZVJvUXvQt7MbAm1CiPgdgD3WbuBk-IEbltE/edit?usp=drivesdk" TargetMode="External"/><Relationship Id="rId10" Type="http://schemas.openxmlformats.org/officeDocument/2006/relationships/hyperlink" Target="https://docs.google.com/spreadsheets/d/16MGW4WNSw5JI3UfbJqM1hAKIbvqQRbo-41n08BX07BE/edit?usp=drivesdk" TargetMode="External"/><Relationship Id="rId31" Type="http://schemas.openxmlformats.org/officeDocument/2006/relationships/hyperlink" Target="https://docs.google.com/spreadsheets/d/1DuYtuOUsVtcJzFIBxv-_AdZCtTAB0Wwq2YaLv4zd5Cc/edit?usp=drivesdk" TargetMode="External"/><Relationship Id="rId44" Type="http://schemas.openxmlformats.org/officeDocument/2006/relationships/hyperlink" Target="https://docs.google.com/spreadsheets/d/1hk85jfDuqz_wh8tENGP7AqA_mg4ig8_1W93pf3G3t9o/edit?usp=drivesdk" TargetMode="External"/><Relationship Id="rId52" Type="http://schemas.openxmlformats.org/officeDocument/2006/relationships/hyperlink" Target="https://docs.google.com/spreadsheets/d/1VeuF6GeKUOTGwzHO-LSfwI2za36ml_zaeYaL5o2Ghhk/edit?usp=drivesdk" TargetMode="External"/><Relationship Id="rId60" Type="http://schemas.openxmlformats.org/officeDocument/2006/relationships/hyperlink" Target="https://docs.google.com/spreadsheets/d/16MGW4WNSw5JI3UfbJqM1hAKIbvqQRbo-41n08BX07BE/edit?usp=drivesdk" TargetMode="External"/><Relationship Id="rId65" Type="http://schemas.openxmlformats.org/officeDocument/2006/relationships/hyperlink" Target="https://docs.google.com/spreadsheets/d/1QWMxzYY9-ggGQqsSN5-2Zj1l5akdKTTeaGM-X3nkvK4/edit?usp=drivesdk" TargetMode="External"/><Relationship Id="rId73" Type="http://schemas.openxmlformats.org/officeDocument/2006/relationships/hyperlink" Target="https://docs.google.com/spreadsheets/d/1Yi8rj5sGpnDAdLnDztruq1OQTmBExzLf6R57V3wm3zY/edit?usp=drivesdk" TargetMode="External"/><Relationship Id="rId78" Type="http://schemas.openxmlformats.org/officeDocument/2006/relationships/hyperlink" Target="https://docs.google.com/spreadsheets/d/1PMmqzKQovq-E4y36JxV5Bqx4lL1en5xNeWb7VCXXOv0/edit?usp=drivesdk" TargetMode="External"/><Relationship Id="rId81" Type="http://schemas.openxmlformats.org/officeDocument/2006/relationships/hyperlink" Target="https://docs.google.com/spreadsheets/d/1DuYtuOUsVtcJzFIBxv-_AdZCtTAB0Wwq2YaLv4zd5Cc/edit?usp=drivesdk" TargetMode="External"/><Relationship Id="rId86" Type="http://schemas.openxmlformats.org/officeDocument/2006/relationships/hyperlink" Target="https://docs.google.com/spreadsheets/d/1l5t-J90otzP49mnOQUUdYoPkw81yq_sAf2TVfQ5EwkI/edit?usp=drivesdk" TargetMode="External"/><Relationship Id="rId94" Type="http://schemas.openxmlformats.org/officeDocument/2006/relationships/hyperlink" Target="https://docs.google.com/spreadsheets/d/1hk85jfDuqz_wh8tENGP7AqA_mg4ig8_1W93pf3G3t9o/edit?usp=drivesdk" TargetMode="External"/><Relationship Id="rId99" Type="http://schemas.openxmlformats.org/officeDocument/2006/relationships/hyperlink" Target="https://docs.google.com/spreadsheets/d/1G-LdkZmi__DcqEqCiPbS_DD26_o6h1hQq85hPc2HPGM/edit?usp=drivesdk" TargetMode="External"/><Relationship Id="rId4" Type="http://schemas.openxmlformats.org/officeDocument/2006/relationships/hyperlink" Target="https://docs.google.com/spreadsheets/d/1WxXyg78YgPjV2g6Maufr1gPhwjcIhEA2YlR7XoLSu-A/edit?usp=drivesdk" TargetMode="External"/><Relationship Id="rId9" Type="http://schemas.openxmlformats.org/officeDocument/2006/relationships/hyperlink" Target="https://docs.google.com/spreadsheets/d/1SjAdeb1zUMrHPIkdruy08Cdpv35GPoEXDjy8zscxEm4/edit?usp=drivesdk" TargetMode="External"/><Relationship Id="rId13" Type="http://schemas.openxmlformats.org/officeDocument/2006/relationships/hyperlink" Target="https://docs.google.com/spreadsheets/d/11Ii-qxGsj-laNAFvL8sxd3sw0FfHuY-_L8GiFn6IXHg/edit?usp=drivesdk" TargetMode="External"/><Relationship Id="rId18" Type="http://schemas.openxmlformats.org/officeDocument/2006/relationships/hyperlink" Target="https://docs.google.com/spreadsheets/d/13tzA1ktx5PEp-qtKszyaWBlwGMM3wHaqvNnkZZOl2zk/edit?usp=drivesdk" TargetMode="External"/><Relationship Id="rId39" Type="http://schemas.openxmlformats.org/officeDocument/2006/relationships/hyperlink" Target="https://docs.google.com/spreadsheets/d/1kKk37hKU7f-HkclDWpUQx3SFR7vZKnZ7a-MQ0l0uUco/edit?usp=drivesd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00"/>
    <outlinePr summaryBelow="0" summaryRight="0"/>
  </sheetPr>
  <dimension ref="A1:J291"/>
  <sheetViews>
    <sheetView tabSelected="1" workbookViewId="0"/>
  </sheetViews>
  <sheetFormatPr defaultColWidth="12.7265625" defaultRowHeight="15.75" customHeight="1"/>
  <cols>
    <col min="1" max="1" width="4.7265625" customWidth="1"/>
    <col min="2" max="2" width="13.81640625" customWidth="1"/>
    <col min="3" max="3" width="15.1796875" customWidth="1"/>
    <col min="4" max="4" width="19.26953125" customWidth="1"/>
    <col min="5" max="5" width="26.81640625" customWidth="1"/>
    <col min="6" max="6" width="5.7265625" customWidth="1"/>
    <col min="7" max="7" width="13.81640625" customWidth="1"/>
    <col min="8" max="8" width="15.1796875" customWidth="1"/>
    <col min="9" max="9" width="19.26953125" customWidth="1"/>
    <col min="10" max="10" width="26.81640625" customWidth="1"/>
  </cols>
  <sheetData>
    <row r="1" spans="1:10" ht="15.75" customHeight="1" thickBot="1">
      <c r="A1" s="1"/>
      <c r="B1" s="6"/>
      <c r="C1" s="7" t="s">
        <v>708</v>
      </c>
      <c r="D1" s="8" t="s">
        <v>0</v>
      </c>
      <c r="E1" s="8" t="s">
        <v>709</v>
      </c>
      <c r="F1" s="1"/>
      <c r="G1" s="6"/>
      <c r="H1" s="7" t="s">
        <v>708</v>
      </c>
      <c r="I1" s="8" t="s">
        <v>0</v>
      </c>
      <c r="J1" s="8" t="s">
        <v>709</v>
      </c>
    </row>
    <row r="2" spans="1:10" ht="15.75" customHeight="1">
      <c r="A2" s="1"/>
      <c r="B2" s="9" t="s">
        <v>2</v>
      </c>
      <c r="C2" s="10" t="s">
        <v>715</v>
      </c>
      <c r="D2" s="11"/>
      <c r="E2" s="11"/>
      <c r="F2" s="1"/>
      <c r="G2" s="9" t="s">
        <v>425</v>
      </c>
      <c r="H2" s="10" t="s">
        <v>741</v>
      </c>
      <c r="I2" s="11"/>
      <c r="J2" s="11"/>
    </row>
    <row r="3" spans="1:10" ht="15.75" customHeight="1">
      <c r="A3" s="1"/>
      <c r="B3" s="12"/>
      <c r="C3" s="13" t="s">
        <v>710</v>
      </c>
      <c r="D3" s="14" t="s">
        <v>32</v>
      </c>
      <c r="E3" s="14" t="s">
        <v>33</v>
      </c>
      <c r="F3" s="1"/>
      <c r="G3" s="12"/>
      <c r="H3" s="13" t="s">
        <v>710</v>
      </c>
      <c r="I3" s="14" t="s">
        <v>433</v>
      </c>
      <c r="J3" s="14" t="s">
        <v>59</v>
      </c>
    </row>
    <row r="4" spans="1:10" ht="15.75" customHeight="1">
      <c r="A4" s="1"/>
      <c r="B4" s="12"/>
      <c r="C4" s="15" t="s">
        <v>711</v>
      </c>
      <c r="D4" s="16" t="s">
        <v>25</v>
      </c>
      <c r="E4" s="16" t="s">
        <v>26</v>
      </c>
      <c r="F4" s="1"/>
      <c r="G4" s="12"/>
      <c r="H4" s="15" t="s">
        <v>711</v>
      </c>
      <c r="I4" s="16" t="s">
        <v>432</v>
      </c>
      <c r="J4" s="16" t="s">
        <v>256</v>
      </c>
    </row>
    <row r="5" spans="1:10" ht="15.75" customHeight="1">
      <c r="A5" s="1"/>
      <c r="B5" s="12"/>
      <c r="C5" s="15" t="s">
        <v>712</v>
      </c>
      <c r="D5" s="16" t="s">
        <v>57</v>
      </c>
      <c r="E5" s="16" t="s">
        <v>51</v>
      </c>
      <c r="F5" s="1"/>
      <c r="G5" s="12"/>
      <c r="H5" s="15" t="s">
        <v>712</v>
      </c>
      <c r="I5" s="16" t="s">
        <v>428</v>
      </c>
      <c r="J5" s="16" t="s">
        <v>387</v>
      </c>
    </row>
    <row r="6" spans="1:10" ht="15.75" customHeight="1">
      <c r="A6" s="1"/>
      <c r="B6" s="12"/>
      <c r="C6" s="15" t="s">
        <v>712</v>
      </c>
      <c r="D6" s="16" t="s">
        <v>7</v>
      </c>
      <c r="E6" s="16" t="s">
        <v>8</v>
      </c>
      <c r="F6" s="1"/>
      <c r="G6" s="12"/>
      <c r="H6" s="15" t="s">
        <v>712</v>
      </c>
      <c r="I6" s="16" t="s">
        <v>435</v>
      </c>
      <c r="J6" s="16" t="s">
        <v>436</v>
      </c>
    </row>
    <row r="7" spans="1:10" ht="15.75" customHeight="1">
      <c r="A7" s="1"/>
      <c r="B7" s="12"/>
      <c r="C7" s="15" t="s">
        <v>713</v>
      </c>
      <c r="D7" s="16" t="s">
        <v>19</v>
      </c>
      <c r="E7" s="16" t="s">
        <v>20</v>
      </c>
      <c r="F7" s="1"/>
      <c r="G7" s="12"/>
      <c r="H7" s="55" t="s">
        <v>782</v>
      </c>
      <c r="I7" s="16" t="s">
        <v>427</v>
      </c>
      <c r="J7" s="16" t="s">
        <v>115</v>
      </c>
    </row>
    <row r="8" spans="1:10" ht="15.75" customHeight="1">
      <c r="A8" s="1"/>
      <c r="B8" s="12"/>
      <c r="C8" s="15" t="s">
        <v>713</v>
      </c>
      <c r="D8" s="16" t="s">
        <v>39</v>
      </c>
      <c r="E8" s="16" t="s">
        <v>40</v>
      </c>
      <c r="F8" s="1"/>
      <c r="G8" s="12"/>
      <c r="H8" s="15" t="s">
        <v>713</v>
      </c>
      <c r="I8" s="16" t="s">
        <v>430</v>
      </c>
      <c r="J8" s="16" t="s">
        <v>96</v>
      </c>
    </row>
    <row r="9" spans="1:10" ht="15.75" customHeight="1">
      <c r="A9" s="1"/>
      <c r="B9" s="12"/>
      <c r="C9" s="15" t="s">
        <v>713</v>
      </c>
      <c r="D9" s="16" t="s">
        <v>48</v>
      </c>
      <c r="E9" s="16" t="s">
        <v>47</v>
      </c>
      <c r="F9" s="1"/>
      <c r="G9" s="12"/>
      <c r="H9" s="15" t="s">
        <v>713</v>
      </c>
      <c r="I9" s="16" t="s">
        <v>429</v>
      </c>
      <c r="J9" s="16" t="s">
        <v>192</v>
      </c>
    </row>
    <row r="10" spans="1:10" ht="15.75" customHeight="1" thickBot="1">
      <c r="A10" s="1"/>
      <c r="B10" s="17"/>
      <c r="C10" s="18" t="s">
        <v>713</v>
      </c>
      <c r="D10" s="19" t="s">
        <v>13</v>
      </c>
      <c r="E10" s="19" t="s">
        <v>14</v>
      </c>
      <c r="F10" s="1"/>
      <c r="G10" s="17"/>
      <c r="H10" s="18" t="s">
        <v>713</v>
      </c>
      <c r="I10" s="19" t="s">
        <v>431</v>
      </c>
      <c r="J10" s="19" t="s">
        <v>55</v>
      </c>
    </row>
    <row r="11" spans="1:10" ht="15.75" customHeight="1">
      <c r="A11" s="1"/>
      <c r="B11" s="9" t="s">
        <v>63</v>
      </c>
      <c r="C11" s="10" t="s">
        <v>717</v>
      </c>
      <c r="D11" s="11"/>
      <c r="E11" s="11"/>
      <c r="F11" s="1"/>
      <c r="G11" s="9" t="s">
        <v>437</v>
      </c>
      <c r="H11" s="10" t="s">
        <v>742</v>
      </c>
      <c r="I11" s="11"/>
      <c r="J11" s="11"/>
    </row>
    <row r="12" spans="1:10" ht="15.75" customHeight="1">
      <c r="A12" s="1"/>
      <c r="B12" s="12"/>
      <c r="C12" s="13" t="s">
        <v>710</v>
      </c>
      <c r="D12" s="14" t="s">
        <v>87</v>
      </c>
      <c r="E12" s="14" t="s">
        <v>88</v>
      </c>
      <c r="F12" s="1"/>
      <c r="G12" s="12"/>
      <c r="H12" s="13" t="s">
        <v>710</v>
      </c>
      <c r="I12" s="14" t="s">
        <v>445</v>
      </c>
      <c r="J12" s="14" t="s">
        <v>140</v>
      </c>
    </row>
    <row r="13" spans="1:10" ht="15.75" customHeight="1">
      <c r="A13" s="1"/>
      <c r="B13" s="12"/>
      <c r="C13" s="15" t="s">
        <v>711</v>
      </c>
      <c r="D13" s="16" t="s">
        <v>71</v>
      </c>
      <c r="E13" s="16" t="s">
        <v>72</v>
      </c>
      <c r="F13" s="1"/>
      <c r="G13" s="12"/>
      <c r="H13" s="15" t="s">
        <v>711</v>
      </c>
      <c r="I13" s="16" t="s">
        <v>442</v>
      </c>
      <c r="J13" s="16" t="s">
        <v>387</v>
      </c>
    </row>
    <row r="14" spans="1:10" ht="15.75" customHeight="1">
      <c r="A14" s="1"/>
      <c r="B14" s="12"/>
      <c r="C14" s="15" t="s">
        <v>712</v>
      </c>
      <c r="D14" s="16" t="s">
        <v>80</v>
      </c>
      <c r="E14" s="16" t="s">
        <v>31</v>
      </c>
      <c r="F14" s="1"/>
      <c r="G14" s="12"/>
      <c r="H14" s="15" t="s">
        <v>712</v>
      </c>
      <c r="I14" s="16" t="s">
        <v>440</v>
      </c>
      <c r="J14" s="16" t="s">
        <v>120</v>
      </c>
    </row>
    <row r="15" spans="1:10" ht="15.75" customHeight="1">
      <c r="A15" s="1"/>
      <c r="B15" s="12"/>
      <c r="C15" s="15" t="s">
        <v>712</v>
      </c>
      <c r="D15" s="16" t="s">
        <v>94</v>
      </c>
      <c r="E15" s="16" t="s">
        <v>95</v>
      </c>
      <c r="F15" s="1"/>
      <c r="G15" s="12"/>
      <c r="H15" s="15" t="s">
        <v>712</v>
      </c>
      <c r="I15" s="16" t="s">
        <v>446</v>
      </c>
      <c r="J15" s="16" t="s">
        <v>109</v>
      </c>
    </row>
    <row r="16" spans="1:10" ht="15.75" customHeight="1">
      <c r="A16" s="1"/>
      <c r="B16" s="12"/>
      <c r="C16" s="15" t="s">
        <v>713</v>
      </c>
      <c r="D16" s="16" t="s">
        <v>83</v>
      </c>
      <c r="E16" s="16" t="s">
        <v>36</v>
      </c>
      <c r="F16" s="1"/>
      <c r="G16" s="12"/>
      <c r="H16" s="15" t="s">
        <v>713</v>
      </c>
      <c r="I16" s="16" t="s">
        <v>439</v>
      </c>
      <c r="J16" s="16" t="s">
        <v>145</v>
      </c>
    </row>
    <row r="17" spans="1:10" ht="15.75" customHeight="1">
      <c r="A17" s="1"/>
      <c r="B17" s="12"/>
      <c r="C17" s="15" t="s">
        <v>713</v>
      </c>
      <c r="D17" s="16" t="s">
        <v>76</v>
      </c>
      <c r="E17" s="16" t="s">
        <v>77</v>
      </c>
      <c r="F17" s="1"/>
      <c r="G17" s="12"/>
      <c r="H17" s="15" t="s">
        <v>713</v>
      </c>
      <c r="I17" s="16" t="s">
        <v>444</v>
      </c>
      <c r="J17" s="16" t="s">
        <v>133</v>
      </c>
    </row>
    <row r="18" spans="1:10" ht="15.75" customHeight="1">
      <c r="A18" s="1"/>
      <c r="B18" s="12"/>
      <c r="C18" s="15" t="s">
        <v>713</v>
      </c>
      <c r="D18" s="16" t="s">
        <v>107</v>
      </c>
      <c r="E18" s="16" t="s">
        <v>62</v>
      </c>
      <c r="F18" s="1"/>
      <c r="G18" s="12"/>
      <c r="H18" s="15" t="s">
        <v>713</v>
      </c>
      <c r="I18" s="16" t="s">
        <v>443</v>
      </c>
      <c r="J18" s="16" t="s">
        <v>86</v>
      </c>
    </row>
    <row r="19" spans="1:10" ht="15.75" customHeight="1" thickBot="1">
      <c r="A19" s="1"/>
      <c r="B19" s="17"/>
      <c r="C19" s="18" t="s">
        <v>713</v>
      </c>
      <c r="D19" s="19" t="s">
        <v>105</v>
      </c>
      <c r="E19" s="19" t="s">
        <v>58</v>
      </c>
      <c r="F19" s="1"/>
      <c r="G19" s="17"/>
      <c r="H19" s="18" t="s">
        <v>713</v>
      </c>
      <c r="I19" s="19" t="s">
        <v>441</v>
      </c>
      <c r="J19" s="19" t="s">
        <v>35</v>
      </c>
    </row>
    <row r="20" spans="1:10" ht="15.75" customHeight="1">
      <c r="A20" s="1"/>
      <c r="B20" s="9" t="s">
        <v>110</v>
      </c>
      <c r="C20" s="10" t="s">
        <v>720</v>
      </c>
      <c r="D20" s="11"/>
      <c r="E20" s="11"/>
      <c r="F20" s="1"/>
      <c r="G20" s="9" t="s">
        <v>448</v>
      </c>
      <c r="H20" s="10" t="s">
        <v>743</v>
      </c>
      <c r="I20" s="11"/>
      <c r="J20" s="11"/>
    </row>
    <row r="21" spans="1:10" ht="15.75" customHeight="1">
      <c r="A21" s="1"/>
      <c r="B21" s="12"/>
      <c r="C21" s="13" t="s">
        <v>710</v>
      </c>
      <c r="D21" s="14" t="s">
        <v>137</v>
      </c>
      <c r="E21" s="14" t="s">
        <v>138</v>
      </c>
      <c r="F21" s="1"/>
      <c r="G21" s="12"/>
      <c r="H21" s="13" t="s">
        <v>710</v>
      </c>
      <c r="I21" s="14" t="s">
        <v>449</v>
      </c>
      <c r="J21" s="14" t="s">
        <v>273</v>
      </c>
    </row>
    <row r="22" spans="1:10" ht="15.75" customHeight="1">
      <c r="A22" s="1"/>
      <c r="B22" s="12"/>
      <c r="C22" s="15" t="s">
        <v>711</v>
      </c>
      <c r="D22" s="16" t="s">
        <v>139</v>
      </c>
      <c r="E22" s="16" t="s">
        <v>140</v>
      </c>
      <c r="F22" s="1"/>
      <c r="G22" s="12"/>
      <c r="H22" s="15" t="s">
        <v>711</v>
      </c>
      <c r="I22" s="16" t="s">
        <v>457</v>
      </c>
      <c r="J22" s="16" t="s">
        <v>447</v>
      </c>
    </row>
    <row r="23" spans="1:10" ht="15.75" customHeight="1">
      <c r="A23" s="1"/>
      <c r="B23" s="12"/>
      <c r="C23" s="15" t="s">
        <v>712</v>
      </c>
      <c r="D23" s="16" t="s">
        <v>131</v>
      </c>
      <c r="E23" s="16" t="s">
        <v>50</v>
      </c>
      <c r="F23" s="1"/>
      <c r="G23" s="12"/>
      <c r="H23" s="15" t="s">
        <v>712</v>
      </c>
      <c r="I23" s="16" t="s">
        <v>451</v>
      </c>
      <c r="J23" s="16" t="s">
        <v>341</v>
      </c>
    </row>
    <row r="24" spans="1:10" ht="15.75" customHeight="1">
      <c r="A24" s="1"/>
      <c r="B24" s="12"/>
      <c r="C24" s="15" t="s">
        <v>712</v>
      </c>
      <c r="D24" s="16" t="s">
        <v>114</v>
      </c>
      <c r="E24" s="16" t="s">
        <v>68</v>
      </c>
      <c r="F24" s="1"/>
      <c r="G24" s="12"/>
      <c r="H24" s="15" t="s">
        <v>712</v>
      </c>
      <c r="I24" s="16" t="s">
        <v>453</v>
      </c>
      <c r="J24" s="16" t="s">
        <v>43</v>
      </c>
    </row>
    <row r="25" spans="1:10" ht="15.75" customHeight="1">
      <c r="A25" s="1"/>
      <c r="B25" s="12"/>
      <c r="C25" s="15" t="s">
        <v>713</v>
      </c>
      <c r="D25" s="16" t="s">
        <v>117</v>
      </c>
      <c r="E25" s="16" t="s">
        <v>9</v>
      </c>
      <c r="F25" s="1"/>
      <c r="G25" s="12"/>
      <c r="H25" s="15" t="s">
        <v>713</v>
      </c>
      <c r="I25" s="16" t="s">
        <v>450</v>
      </c>
      <c r="J25" s="16" t="s">
        <v>291</v>
      </c>
    </row>
    <row r="26" spans="1:10" ht="15.75" customHeight="1">
      <c r="A26" s="1"/>
      <c r="B26" s="12"/>
      <c r="C26" s="15" t="s">
        <v>713</v>
      </c>
      <c r="D26" s="16" t="s">
        <v>112</v>
      </c>
      <c r="E26" s="16" t="s">
        <v>65</v>
      </c>
      <c r="F26" s="1"/>
      <c r="G26" s="12"/>
      <c r="H26" s="15" t="s">
        <v>713</v>
      </c>
      <c r="I26" s="16" t="s">
        <v>456</v>
      </c>
      <c r="J26" s="16" t="s">
        <v>133</v>
      </c>
    </row>
    <row r="27" spans="1:10" ht="15.75" customHeight="1">
      <c r="A27" s="1"/>
      <c r="B27" s="12"/>
      <c r="C27" s="15" t="s">
        <v>713</v>
      </c>
      <c r="D27" s="16" t="s">
        <v>122</v>
      </c>
      <c r="E27" s="16" t="s">
        <v>81</v>
      </c>
      <c r="F27" s="1"/>
      <c r="G27" s="12"/>
      <c r="H27" s="15" t="s">
        <v>713</v>
      </c>
      <c r="I27" s="16" t="s">
        <v>454</v>
      </c>
      <c r="J27" s="16" t="s">
        <v>45</v>
      </c>
    </row>
    <row r="28" spans="1:10" ht="15.75" customHeight="1" thickBot="1">
      <c r="A28" s="1"/>
      <c r="B28" s="17"/>
      <c r="C28" s="18" t="s">
        <v>713</v>
      </c>
      <c r="D28" s="19" t="s">
        <v>119</v>
      </c>
      <c r="E28" s="19" t="s">
        <v>22</v>
      </c>
      <c r="F28" s="1"/>
      <c r="G28" s="17"/>
      <c r="H28" s="18" t="s">
        <v>713</v>
      </c>
      <c r="I28" s="19" t="s">
        <v>452</v>
      </c>
      <c r="J28" s="19" t="s">
        <v>35</v>
      </c>
    </row>
    <row r="29" spans="1:10" ht="15.75" customHeight="1">
      <c r="A29" s="1"/>
      <c r="B29" s="9" t="s">
        <v>142</v>
      </c>
      <c r="C29" s="10" t="s">
        <v>723</v>
      </c>
      <c r="D29" s="11"/>
      <c r="E29" s="11"/>
      <c r="F29" s="1"/>
      <c r="G29" s="9" t="s">
        <v>458</v>
      </c>
      <c r="H29" s="10" t="s">
        <v>744</v>
      </c>
      <c r="I29" s="11"/>
      <c r="J29" s="11"/>
    </row>
    <row r="30" spans="1:10" ht="15.75" customHeight="1">
      <c r="A30" s="1"/>
      <c r="B30" s="12"/>
      <c r="C30" s="13" t="s">
        <v>710</v>
      </c>
      <c r="D30" s="14" t="s">
        <v>171</v>
      </c>
      <c r="E30" s="14" t="s">
        <v>61</v>
      </c>
      <c r="F30" s="1"/>
      <c r="G30" s="12"/>
      <c r="H30" s="13" t="s">
        <v>710</v>
      </c>
      <c r="I30" s="14" t="s">
        <v>459</v>
      </c>
      <c r="J30" s="14" t="s">
        <v>145</v>
      </c>
    </row>
    <row r="31" spans="1:10" ht="16.5">
      <c r="A31" s="1"/>
      <c r="B31" s="12"/>
      <c r="C31" s="15" t="s">
        <v>711</v>
      </c>
      <c r="D31" s="16" t="s">
        <v>170</v>
      </c>
      <c r="E31" s="16" t="s">
        <v>106</v>
      </c>
      <c r="F31" s="1"/>
      <c r="G31" s="12"/>
      <c r="H31" s="15" t="s">
        <v>711</v>
      </c>
      <c r="I31" s="16" t="s">
        <v>468</v>
      </c>
      <c r="J31" s="16" t="s">
        <v>140</v>
      </c>
    </row>
    <row r="32" spans="1:10" ht="17" thickBot="1">
      <c r="A32" s="1"/>
      <c r="B32" s="12"/>
      <c r="C32" s="15" t="s">
        <v>712</v>
      </c>
      <c r="D32" s="16" t="s">
        <v>144</v>
      </c>
      <c r="E32" s="16" t="s">
        <v>3</v>
      </c>
      <c r="F32" s="1"/>
      <c r="G32" s="12"/>
      <c r="H32" s="15" t="s">
        <v>712</v>
      </c>
      <c r="I32" s="16" t="s">
        <v>467</v>
      </c>
      <c r="J32" s="16" t="s">
        <v>330</v>
      </c>
    </row>
    <row r="33" spans="1:10" ht="16.5">
      <c r="A33" s="1"/>
      <c r="B33" s="12"/>
      <c r="C33" s="15" t="s">
        <v>712</v>
      </c>
      <c r="D33" s="16" t="s">
        <v>172</v>
      </c>
      <c r="E33" s="16" t="s">
        <v>62</v>
      </c>
      <c r="F33" s="1"/>
      <c r="G33" s="12"/>
      <c r="H33" s="15" t="s">
        <v>712</v>
      </c>
      <c r="I33" s="16" t="s">
        <v>464</v>
      </c>
      <c r="J33" s="16" t="s">
        <v>96</v>
      </c>
    </row>
    <row r="34" spans="1:10" ht="16.5">
      <c r="A34" s="1"/>
      <c r="B34" s="12"/>
      <c r="C34" s="15" t="s">
        <v>713</v>
      </c>
      <c r="D34" s="16" t="s">
        <v>173</v>
      </c>
      <c r="E34" s="16" t="s">
        <v>174</v>
      </c>
      <c r="F34" s="1"/>
      <c r="G34" s="12"/>
      <c r="H34" s="15" t="s">
        <v>713</v>
      </c>
      <c r="I34" s="16" t="s">
        <v>470</v>
      </c>
      <c r="J34" s="16" t="s">
        <v>109</v>
      </c>
    </row>
    <row r="35" spans="1:10" ht="16.5">
      <c r="A35" s="1"/>
      <c r="B35" s="12"/>
      <c r="C35" s="15" t="s">
        <v>713</v>
      </c>
      <c r="D35" s="16" t="s">
        <v>167</v>
      </c>
      <c r="E35" s="16" t="s">
        <v>168</v>
      </c>
      <c r="F35" s="1"/>
      <c r="G35" s="12"/>
      <c r="H35" s="15" t="s">
        <v>713</v>
      </c>
      <c r="I35" s="16" t="s">
        <v>461</v>
      </c>
      <c r="J35" s="16" t="s">
        <v>125</v>
      </c>
    </row>
    <row r="36" spans="1:10" ht="16.5">
      <c r="A36" s="1"/>
      <c r="B36" s="12"/>
      <c r="C36" s="15" t="s">
        <v>713</v>
      </c>
      <c r="D36" s="16" t="s">
        <v>152</v>
      </c>
      <c r="E36" s="16" t="s">
        <v>153</v>
      </c>
      <c r="F36" s="1"/>
      <c r="G36" s="12"/>
      <c r="H36" s="15" t="s">
        <v>713</v>
      </c>
      <c r="I36" s="16" t="s">
        <v>462</v>
      </c>
      <c r="J36" s="16" t="s">
        <v>89</v>
      </c>
    </row>
    <row r="37" spans="1:10" ht="17" thickBot="1">
      <c r="A37" s="1"/>
      <c r="B37" s="17"/>
      <c r="C37" s="18" t="s">
        <v>713</v>
      </c>
      <c r="D37" s="19" t="s">
        <v>154</v>
      </c>
      <c r="E37" s="19" t="s">
        <v>155</v>
      </c>
      <c r="F37" s="1"/>
      <c r="G37" s="17"/>
      <c r="H37" s="18" t="s">
        <v>713</v>
      </c>
      <c r="I37" s="19" t="s">
        <v>460</v>
      </c>
      <c r="J37" s="19" t="s">
        <v>235</v>
      </c>
    </row>
    <row r="38" spans="1:10" ht="16.5">
      <c r="A38" s="1"/>
      <c r="B38" s="9" t="s">
        <v>175</v>
      </c>
      <c r="C38" s="10" t="s">
        <v>726</v>
      </c>
      <c r="D38" s="11"/>
      <c r="E38" s="11"/>
      <c r="F38" s="1"/>
      <c r="G38" s="9" t="s">
        <v>471</v>
      </c>
      <c r="H38" s="10" t="s">
        <v>745</v>
      </c>
      <c r="I38" s="11"/>
      <c r="J38" s="11"/>
    </row>
    <row r="39" spans="1:10" ht="16.5">
      <c r="A39" s="1"/>
      <c r="B39" s="12"/>
      <c r="C39" s="13" t="s">
        <v>710</v>
      </c>
      <c r="D39" s="14" t="s">
        <v>178</v>
      </c>
      <c r="E39" s="14" t="s">
        <v>22</v>
      </c>
      <c r="F39" s="1"/>
      <c r="G39" s="12"/>
      <c r="H39" s="13" t="s">
        <v>710</v>
      </c>
      <c r="I39" s="14" t="s">
        <v>482</v>
      </c>
      <c r="J39" s="14" t="s">
        <v>108</v>
      </c>
    </row>
    <row r="40" spans="1:10" ht="16.5">
      <c r="A40" s="1"/>
      <c r="B40" s="12"/>
      <c r="C40" s="15" t="s">
        <v>711</v>
      </c>
      <c r="D40" s="16" t="s">
        <v>198</v>
      </c>
      <c r="E40" s="16" t="s">
        <v>199</v>
      </c>
      <c r="F40" s="1"/>
      <c r="G40" s="12"/>
      <c r="H40" s="15" t="s">
        <v>711</v>
      </c>
      <c r="I40" s="16" t="s">
        <v>481</v>
      </c>
      <c r="J40" s="16" t="s">
        <v>330</v>
      </c>
    </row>
    <row r="41" spans="1:10" ht="16.5">
      <c r="A41" s="1"/>
      <c r="B41" s="12"/>
      <c r="C41" s="15" t="s">
        <v>712</v>
      </c>
      <c r="D41" s="16" t="s">
        <v>200</v>
      </c>
      <c r="E41" s="16" t="s">
        <v>138</v>
      </c>
      <c r="F41" s="1"/>
      <c r="G41" s="12"/>
      <c r="H41" s="15" t="s">
        <v>712</v>
      </c>
      <c r="I41" s="16" t="s">
        <v>474</v>
      </c>
      <c r="J41" s="16" t="s">
        <v>73</v>
      </c>
    </row>
    <row r="42" spans="1:10" ht="16.5">
      <c r="A42" s="1"/>
      <c r="B42" s="12"/>
      <c r="C42" s="15" t="s">
        <v>712</v>
      </c>
      <c r="D42" s="16" t="s">
        <v>184</v>
      </c>
      <c r="E42" s="16" t="s">
        <v>185</v>
      </c>
      <c r="F42" s="1"/>
      <c r="G42" s="12"/>
      <c r="H42" s="15" t="s">
        <v>712</v>
      </c>
      <c r="I42" s="16" t="s">
        <v>473</v>
      </c>
      <c r="J42" s="16" t="s">
        <v>177</v>
      </c>
    </row>
    <row r="43" spans="1:10" ht="16.5">
      <c r="A43" s="1"/>
      <c r="B43" s="12"/>
      <c r="C43" s="15" t="s">
        <v>713</v>
      </c>
      <c r="D43" s="16" t="s">
        <v>196</v>
      </c>
      <c r="E43" s="16" t="s">
        <v>197</v>
      </c>
      <c r="F43" s="1"/>
      <c r="G43" s="12"/>
      <c r="H43" s="15" t="s">
        <v>713</v>
      </c>
      <c r="I43" s="16" t="s">
        <v>476</v>
      </c>
      <c r="J43" s="16" t="s">
        <v>390</v>
      </c>
    </row>
    <row r="44" spans="1:10" ht="16.5">
      <c r="A44" s="1"/>
      <c r="B44" s="12"/>
      <c r="C44" s="15" t="s">
        <v>713</v>
      </c>
      <c r="D44" s="16" t="s">
        <v>181</v>
      </c>
      <c r="E44" s="16" t="s">
        <v>182</v>
      </c>
      <c r="F44" s="1"/>
      <c r="G44" s="12"/>
      <c r="H44" s="15" t="s">
        <v>713</v>
      </c>
      <c r="I44" s="16" t="s">
        <v>479</v>
      </c>
      <c r="J44" s="16" t="s">
        <v>135</v>
      </c>
    </row>
    <row r="45" spans="1:10" ht="16.5">
      <c r="A45" s="1"/>
      <c r="B45" s="12"/>
      <c r="C45" s="15" t="s">
        <v>713</v>
      </c>
      <c r="D45" s="16" t="s">
        <v>201</v>
      </c>
      <c r="E45" s="16" t="s">
        <v>62</v>
      </c>
      <c r="F45" s="1"/>
      <c r="G45" s="12"/>
      <c r="H45" s="15" t="s">
        <v>713</v>
      </c>
      <c r="I45" s="16" t="s">
        <v>475</v>
      </c>
      <c r="J45" s="16" t="s">
        <v>372</v>
      </c>
    </row>
    <row r="46" spans="1:10" ht="17" thickBot="1">
      <c r="A46" s="1"/>
      <c r="B46" s="17"/>
      <c r="C46" s="18" t="s">
        <v>713</v>
      </c>
      <c r="D46" s="19" t="s">
        <v>194</v>
      </c>
      <c r="E46" s="19" t="s">
        <v>53</v>
      </c>
      <c r="F46" s="1"/>
      <c r="G46" s="17"/>
      <c r="H46" s="18" t="s">
        <v>713</v>
      </c>
      <c r="I46" s="19" t="s">
        <v>472</v>
      </c>
      <c r="J46" s="19" t="s">
        <v>226</v>
      </c>
    </row>
    <row r="47" spans="1:10" ht="16.5">
      <c r="A47" s="1"/>
      <c r="B47" s="9" t="s">
        <v>203</v>
      </c>
      <c r="C47" s="10" t="s">
        <v>729</v>
      </c>
      <c r="D47" s="11"/>
      <c r="E47" s="11"/>
      <c r="F47" s="1"/>
      <c r="G47" s="9" t="s">
        <v>483</v>
      </c>
      <c r="H47" s="10" t="s">
        <v>746</v>
      </c>
      <c r="I47" s="11"/>
      <c r="J47" s="11"/>
    </row>
    <row r="48" spans="1:10" ht="16.5">
      <c r="A48" s="1"/>
      <c r="B48" s="12"/>
      <c r="C48" s="13" t="s">
        <v>710</v>
      </c>
      <c r="D48" s="14" t="s">
        <v>216</v>
      </c>
      <c r="E48" s="14" t="s">
        <v>217</v>
      </c>
      <c r="F48" s="1"/>
      <c r="G48" s="12"/>
      <c r="H48" s="13" t="s">
        <v>710</v>
      </c>
      <c r="I48" s="14" t="s">
        <v>484</v>
      </c>
      <c r="J48" s="14" t="s">
        <v>176</v>
      </c>
    </row>
    <row r="49" spans="1:10" ht="16.5">
      <c r="A49" s="1"/>
      <c r="B49" s="12"/>
      <c r="C49" s="15" t="s">
        <v>711</v>
      </c>
      <c r="D49" s="16" t="s">
        <v>208</v>
      </c>
      <c r="E49" s="16" t="s">
        <v>22</v>
      </c>
      <c r="F49" s="1"/>
      <c r="G49" s="12"/>
      <c r="H49" s="15" t="s">
        <v>711</v>
      </c>
      <c r="I49" s="16" t="s">
        <v>491</v>
      </c>
      <c r="J49" s="16" t="s">
        <v>140</v>
      </c>
    </row>
    <row r="50" spans="1:10" ht="16.5">
      <c r="A50" s="1"/>
      <c r="B50" s="12"/>
      <c r="C50" s="15" t="s">
        <v>712</v>
      </c>
      <c r="D50" s="16" t="s">
        <v>207</v>
      </c>
      <c r="E50" s="16" t="s">
        <v>70</v>
      </c>
      <c r="F50" s="1"/>
      <c r="G50" s="12"/>
      <c r="H50" s="15" t="s">
        <v>712</v>
      </c>
      <c r="I50" s="16" t="s">
        <v>492</v>
      </c>
      <c r="J50" s="16" t="s">
        <v>259</v>
      </c>
    </row>
    <row r="51" spans="1:10" ht="16.5">
      <c r="A51" s="1"/>
      <c r="B51" s="12"/>
      <c r="C51" s="15" t="s">
        <v>712</v>
      </c>
      <c r="D51" s="16" t="s">
        <v>206</v>
      </c>
      <c r="E51" s="16" t="s">
        <v>69</v>
      </c>
      <c r="F51" s="1"/>
      <c r="G51" s="12"/>
      <c r="H51" s="15" t="s">
        <v>712</v>
      </c>
      <c r="I51" s="16" t="s">
        <v>487</v>
      </c>
      <c r="J51" s="16" t="s">
        <v>146</v>
      </c>
    </row>
    <row r="52" spans="1:10" ht="16.5">
      <c r="A52" s="1"/>
      <c r="B52" s="12"/>
      <c r="C52" s="15" t="s">
        <v>713</v>
      </c>
      <c r="D52" s="16" t="s">
        <v>209</v>
      </c>
      <c r="E52" s="16" t="s">
        <v>179</v>
      </c>
      <c r="F52" s="1"/>
      <c r="G52" s="12"/>
      <c r="H52" s="15" t="s">
        <v>713</v>
      </c>
      <c r="I52" s="16" t="s">
        <v>485</v>
      </c>
      <c r="J52" s="16" t="s">
        <v>145</v>
      </c>
    </row>
    <row r="53" spans="1:10" ht="16.5">
      <c r="A53" s="1"/>
      <c r="B53" s="12"/>
      <c r="C53" s="15" t="s">
        <v>713</v>
      </c>
      <c r="D53" s="16" t="s">
        <v>218</v>
      </c>
      <c r="E53" s="16" t="s">
        <v>53</v>
      </c>
      <c r="F53" s="1"/>
      <c r="G53" s="12"/>
      <c r="H53" s="15" t="s">
        <v>713</v>
      </c>
      <c r="I53" s="16" t="s">
        <v>486</v>
      </c>
      <c r="J53" s="16" t="s">
        <v>177</v>
      </c>
    </row>
    <row r="54" spans="1:10" ht="16.5">
      <c r="A54" s="1"/>
      <c r="B54" s="12"/>
      <c r="C54" s="15" t="s">
        <v>713</v>
      </c>
      <c r="D54" s="16" t="s">
        <v>220</v>
      </c>
      <c r="E54" s="16" t="s">
        <v>221</v>
      </c>
      <c r="F54" s="1"/>
      <c r="G54" s="12"/>
      <c r="H54" s="15" t="s">
        <v>713</v>
      </c>
      <c r="I54" s="16" t="s">
        <v>490</v>
      </c>
      <c r="J54" s="16" t="s">
        <v>55</v>
      </c>
    </row>
    <row r="55" spans="1:10" ht="17" thickBot="1">
      <c r="A55" s="1"/>
      <c r="B55" s="17"/>
      <c r="C55" s="18" t="s">
        <v>713</v>
      </c>
      <c r="D55" s="19" t="s">
        <v>204</v>
      </c>
      <c r="E55" s="19" t="s">
        <v>205</v>
      </c>
      <c r="F55" s="1"/>
      <c r="G55" s="17"/>
      <c r="H55" s="18" t="s">
        <v>713</v>
      </c>
      <c r="I55" s="19" t="s">
        <v>488</v>
      </c>
      <c r="J55" s="19" t="s">
        <v>22</v>
      </c>
    </row>
    <row r="56" spans="1:10" ht="16.5">
      <c r="A56" s="1"/>
      <c r="B56" s="9" t="s">
        <v>225</v>
      </c>
      <c r="C56" s="10" t="s">
        <v>714</v>
      </c>
      <c r="D56" s="11"/>
      <c r="E56" s="11"/>
      <c r="F56" s="1"/>
      <c r="G56" s="9" t="s">
        <v>493</v>
      </c>
      <c r="H56" s="10" t="s">
        <v>747</v>
      </c>
      <c r="I56" s="11"/>
      <c r="J56" s="11"/>
    </row>
    <row r="57" spans="1:10" ht="16.5">
      <c r="A57" s="1"/>
      <c r="B57" s="12"/>
      <c r="C57" s="13" t="s">
        <v>710</v>
      </c>
      <c r="D57" s="14" t="s">
        <v>240</v>
      </c>
      <c r="E57" s="14" t="s">
        <v>241</v>
      </c>
      <c r="F57" s="1"/>
      <c r="G57" s="12"/>
      <c r="H57" s="13" t="s">
        <v>710</v>
      </c>
      <c r="I57" s="14" t="s">
        <v>504</v>
      </c>
      <c r="J57" s="14" t="s">
        <v>417</v>
      </c>
    </row>
    <row r="58" spans="1:10" ht="16.5">
      <c r="A58" s="1"/>
      <c r="B58" s="12"/>
      <c r="C58" s="15" t="s">
        <v>711</v>
      </c>
      <c r="D58" s="16" t="s">
        <v>233</v>
      </c>
      <c r="E58" s="16" t="s">
        <v>234</v>
      </c>
      <c r="F58" s="1"/>
      <c r="G58" s="12"/>
      <c r="H58" s="15" t="s">
        <v>711</v>
      </c>
      <c r="I58" s="16" t="s">
        <v>500</v>
      </c>
      <c r="J58" s="16" t="s">
        <v>372</v>
      </c>
    </row>
    <row r="59" spans="1:10" ht="16.5">
      <c r="A59" s="1"/>
      <c r="B59" s="12"/>
      <c r="C59" s="15" t="s">
        <v>712</v>
      </c>
      <c r="D59" s="16" t="s">
        <v>228</v>
      </c>
      <c r="E59" s="16" t="s">
        <v>229</v>
      </c>
      <c r="F59" s="1"/>
      <c r="G59" s="12"/>
      <c r="H59" s="15" t="s">
        <v>712</v>
      </c>
      <c r="I59" s="16" t="s">
        <v>494</v>
      </c>
      <c r="J59" s="16" t="s">
        <v>113</v>
      </c>
    </row>
    <row r="60" spans="1:10" ht="17" thickBot="1">
      <c r="A60" s="1"/>
      <c r="B60" s="17"/>
      <c r="C60" s="18" t="s">
        <v>712</v>
      </c>
      <c r="D60" s="19" t="s">
        <v>230</v>
      </c>
      <c r="E60" s="19" t="s">
        <v>78</v>
      </c>
      <c r="F60" s="1"/>
      <c r="G60" s="12"/>
      <c r="H60" s="15" t="s">
        <v>712</v>
      </c>
      <c r="I60" s="16" t="s">
        <v>505</v>
      </c>
      <c r="J60" s="16" t="s">
        <v>259</v>
      </c>
    </row>
    <row r="61" spans="1:10" ht="16.5">
      <c r="A61" s="1"/>
      <c r="B61" s="9" t="s">
        <v>242</v>
      </c>
      <c r="C61" s="10" t="s">
        <v>716</v>
      </c>
      <c r="D61" s="11"/>
      <c r="E61" s="11"/>
      <c r="F61" s="1"/>
      <c r="G61" s="12"/>
      <c r="H61" s="15" t="s">
        <v>713</v>
      </c>
      <c r="I61" s="16" t="s">
        <v>497</v>
      </c>
      <c r="J61" s="16" t="s">
        <v>73</v>
      </c>
    </row>
    <row r="62" spans="1:10" ht="16.5">
      <c r="A62" s="1"/>
      <c r="B62" s="12"/>
      <c r="C62" s="13" t="s">
        <v>710</v>
      </c>
      <c r="D62" s="14" t="s">
        <v>247</v>
      </c>
      <c r="E62" s="14" t="s">
        <v>141</v>
      </c>
      <c r="F62" s="1"/>
      <c r="G62" s="12"/>
      <c r="H62" s="15" t="s">
        <v>713</v>
      </c>
      <c r="I62" s="16" t="s">
        <v>495</v>
      </c>
      <c r="J62" s="16" t="s">
        <v>177</v>
      </c>
    </row>
    <row r="63" spans="1:10" ht="16.5">
      <c r="A63" s="1"/>
      <c r="B63" s="12"/>
      <c r="C63" s="15" t="s">
        <v>711</v>
      </c>
      <c r="D63" s="16" t="s">
        <v>244</v>
      </c>
      <c r="E63" s="16" t="s">
        <v>18</v>
      </c>
      <c r="F63" s="1"/>
      <c r="G63" s="12"/>
      <c r="H63" s="15" t="s">
        <v>713</v>
      </c>
      <c r="I63" s="16" t="s">
        <v>498</v>
      </c>
      <c r="J63" s="16" t="s">
        <v>22</v>
      </c>
    </row>
    <row r="64" spans="1:10" ht="17" thickBot="1">
      <c r="A64" s="1"/>
      <c r="B64" s="12"/>
      <c r="C64" s="15" t="s">
        <v>712</v>
      </c>
      <c r="D64" s="16" t="s">
        <v>248</v>
      </c>
      <c r="E64" s="16" t="s">
        <v>102</v>
      </c>
      <c r="F64" s="1"/>
      <c r="G64" s="17"/>
      <c r="H64" s="18" t="s">
        <v>713</v>
      </c>
      <c r="I64" s="19" t="s">
        <v>496</v>
      </c>
      <c r="J64" s="19" t="s">
        <v>146</v>
      </c>
    </row>
    <row r="65" spans="1:10" ht="17" thickBot="1">
      <c r="A65" s="1"/>
      <c r="B65" s="17"/>
      <c r="C65" s="18" t="s">
        <v>712</v>
      </c>
      <c r="D65" s="19" t="s">
        <v>245</v>
      </c>
      <c r="E65" s="19" t="s">
        <v>234</v>
      </c>
      <c r="F65" s="1"/>
      <c r="G65" s="9" t="s">
        <v>506</v>
      </c>
      <c r="H65" s="10" t="s">
        <v>748</v>
      </c>
      <c r="I65" s="11"/>
      <c r="J65" s="11"/>
    </row>
    <row r="66" spans="1:10" ht="16.5">
      <c r="A66" s="1"/>
      <c r="B66" s="9" t="s">
        <v>250</v>
      </c>
      <c r="C66" s="10" t="s">
        <v>718</v>
      </c>
      <c r="D66" s="11"/>
      <c r="E66" s="11"/>
      <c r="F66" s="1"/>
      <c r="G66" s="12"/>
      <c r="H66" s="13" t="s">
        <v>710</v>
      </c>
      <c r="I66" s="14" t="s">
        <v>518</v>
      </c>
      <c r="J66" s="14" t="s">
        <v>61</v>
      </c>
    </row>
    <row r="67" spans="1:10" ht="16.5">
      <c r="A67" s="1"/>
      <c r="B67" s="12"/>
      <c r="C67" s="13" t="s">
        <v>710</v>
      </c>
      <c r="D67" s="14" t="s">
        <v>258</v>
      </c>
      <c r="E67" s="14" t="s">
        <v>259</v>
      </c>
      <c r="F67" s="1"/>
      <c r="G67" s="12"/>
      <c r="H67" s="15" t="s">
        <v>711</v>
      </c>
      <c r="I67" s="16" t="s">
        <v>516</v>
      </c>
      <c r="J67" s="16" t="s">
        <v>193</v>
      </c>
    </row>
    <row r="68" spans="1:10" ht="16.5">
      <c r="A68" s="1"/>
      <c r="B68" s="12"/>
      <c r="C68" s="15" t="s">
        <v>711</v>
      </c>
      <c r="D68" s="16" t="s">
        <v>257</v>
      </c>
      <c r="E68" s="16" t="s">
        <v>59</v>
      </c>
      <c r="F68" s="1"/>
      <c r="G68" s="12"/>
      <c r="H68" s="15" t="s">
        <v>712</v>
      </c>
      <c r="I68" s="16" t="s">
        <v>517</v>
      </c>
      <c r="J68" s="16" t="s">
        <v>180</v>
      </c>
    </row>
    <row r="69" spans="1:10" ht="16.5">
      <c r="A69" s="1"/>
      <c r="B69" s="12"/>
      <c r="C69" s="15" t="s">
        <v>712</v>
      </c>
      <c r="D69" s="16" t="s">
        <v>253</v>
      </c>
      <c r="E69" s="16" t="s">
        <v>81</v>
      </c>
      <c r="F69" s="1"/>
      <c r="G69" s="12"/>
      <c r="H69" s="15" t="s">
        <v>712</v>
      </c>
      <c r="I69" s="16" t="s">
        <v>508</v>
      </c>
      <c r="J69" s="16" t="s">
        <v>8</v>
      </c>
    </row>
    <row r="70" spans="1:10" ht="17" thickBot="1">
      <c r="A70" s="1"/>
      <c r="B70" s="17"/>
      <c r="C70" s="18" t="s">
        <v>712</v>
      </c>
      <c r="D70" s="19" t="s">
        <v>252</v>
      </c>
      <c r="E70" s="19" t="s">
        <v>18</v>
      </c>
      <c r="F70" s="1"/>
      <c r="G70" s="12"/>
      <c r="H70" s="15" t="s">
        <v>713</v>
      </c>
      <c r="I70" s="16" t="s">
        <v>511</v>
      </c>
      <c r="J70" s="16" t="s">
        <v>157</v>
      </c>
    </row>
    <row r="71" spans="1:10" ht="16.5">
      <c r="A71" s="1"/>
      <c r="B71" s="9" t="s">
        <v>260</v>
      </c>
      <c r="C71" s="10" t="s">
        <v>719</v>
      </c>
      <c r="D71" s="11"/>
      <c r="E71" s="11"/>
      <c r="F71" s="1"/>
      <c r="G71" s="12"/>
      <c r="H71" s="15" t="s">
        <v>713</v>
      </c>
      <c r="I71" s="16" t="s">
        <v>512</v>
      </c>
      <c r="J71" s="16" t="s">
        <v>42</v>
      </c>
    </row>
    <row r="72" spans="1:10" ht="16.5">
      <c r="A72" s="1"/>
      <c r="B72" s="12"/>
      <c r="C72" s="13" t="s">
        <v>710</v>
      </c>
      <c r="D72" s="14" t="s">
        <v>267</v>
      </c>
      <c r="E72" s="14" t="s">
        <v>47</v>
      </c>
      <c r="F72" s="1"/>
      <c r="G72" s="12"/>
      <c r="H72" s="15" t="s">
        <v>713</v>
      </c>
      <c r="I72" s="16" t="s">
        <v>519</v>
      </c>
      <c r="J72" s="16" t="s">
        <v>108</v>
      </c>
    </row>
    <row r="73" spans="1:10" ht="17" thickBot="1">
      <c r="A73" s="1"/>
      <c r="B73" s="12"/>
      <c r="C73" s="15" t="s">
        <v>711</v>
      </c>
      <c r="D73" s="16" t="s">
        <v>262</v>
      </c>
      <c r="E73" s="16" t="s">
        <v>18</v>
      </c>
      <c r="F73" s="1"/>
      <c r="G73" s="17"/>
      <c r="H73" s="18" t="s">
        <v>713</v>
      </c>
      <c r="I73" s="19" t="s">
        <v>507</v>
      </c>
      <c r="J73" s="19" t="s">
        <v>145</v>
      </c>
    </row>
    <row r="74" spans="1:10" ht="16.5">
      <c r="A74" s="1"/>
      <c r="B74" s="12"/>
      <c r="C74" s="15" t="s">
        <v>712</v>
      </c>
      <c r="D74" s="16" t="s">
        <v>268</v>
      </c>
      <c r="E74" s="16" t="s">
        <v>95</v>
      </c>
      <c r="F74" s="1"/>
      <c r="G74" s="9" t="s">
        <v>520</v>
      </c>
      <c r="H74" s="10" t="s">
        <v>749</v>
      </c>
      <c r="I74" s="11"/>
      <c r="J74" s="11"/>
    </row>
    <row r="75" spans="1:10" ht="17" thickBot="1">
      <c r="A75" s="1"/>
      <c r="B75" s="17"/>
      <c r="C75" s="18" t="s">
        <v>712</v>
      </c>
      <c r="D75" s="19" t="s">
        <v>266</v>
      </c>
      <c r="E75" s="19" t="s">
        <v>156</v>
      </c>
      <c r="F75" s="1"/>
      <c r="G75" s="12"/>
      <c r="H75" s="13" t="s">
        <v>710</v>
      </c>
      <c r="I75" s="14" t="s">
        <v>521</v>
      </c>
      <c r="J75" s="14" t="s">
        <v>118</v>
      </c>
    </row>
    <row r="76" spans="1:10" ht="16.5">
      <c r="A76" s="1"/>
      <c r="B76" s="9" t="s">
        <v>271</v>
      </c>
      <c r="C76" s="10" t="s">
        <v>721</v>
      </c>
      <c r="D76" s="11"/>
      <c r="E76" s="11"/>
      <c r="F76" s="1"/>
      <c r="G76" s="12"/>
      <c r="H76" s="15" t="s">
        <v>711</v>
      </c>
      <c r="I76" s="16" t="s">
        <v>530</v>
      </c>
      <c r="J76" s="16" t="s">
        <v>108</v>
      </c>
    </row>
    <row r="77" spans="1:10" ht="16.5">
      <c r="A77" s="1"/>
      <c r="B77" s="12"/>
      <c r="C77" s="13" t="s">
        <v>710</v>
      </c>
      <c r="D77" s="14" t="s">
        <v>274</v>
      </c>
      <c r="E77" s="14" t="s">
        <v>22</v>
      </c>
      <c r="F77" s="1"/>
      <c r="G77" s="12"/>
      <c r="H77" s="15" t="s">
        <v>712</v>
      </c>
      <c r="I77" s="16" t="s">
        <v>529</v>
      </c>
      <c r="J77" s="16" t="s">
        <v>61</v>
      </c>
    </row>
    <row r="78" spans="1:10" ht="16.5">
      <c r="A78" s="1"/>
      <c r="B78" s="12"/>
      <c r="C78" s="15" t="s">
        <v>711</v>
      </c>
      <c r="D78" s="16" t="s">
        <v>277</v>
      </c>
      <c r="E78" s="16" t="s">
        <v>52</v>
      </c>
      <c r="F78" s="1"/>
      <c r="G78" s="12"/>
      <c r="H78" s="15" t="s">
        <v>712</v>
      </c>
      <c r="I78" s="16" t="s">
        <v>526</v>
      </c>
      <c r="J78" s="16" t="s">
        <v>527</v>
      </c>
    </row>
    <row r="79" spans="1:10" ht="16.5">
      <c r="A79" s="1"/>
      <c r="B79" s="12"/>
      <c r="C79" s="15" t="s">
        <v>712</v>
      </c>
      <c r="D79" s="16" t="s">
        <v>275</v>
      </c>
      <c r="E79" s="16" t="s">
        <v>156</v>
      </c>
      <c r="F79" s="1"/>
      <c r="G79" s="12"/>
      <c r="H79" s="15" t="s">
        <v>713</v>
      </c>
      <c r="I79" s="16" t="s">
        <v>523</v>
      </c>
      <c r="J79" s="16" t="s">
        <v>31</v>
      </c>
    </row>
    <row r="80" spans="1:10" ht="17" thickBot="1">
      <c r="A80" s="1"/>
      <c r="B80" s="17"/>
      <c r="C80" s="18" t="s">
        <v>712</v>
      </c>
      <c r="D80" s="19" t="s">
        <v>276</v>
      </c>
      <c r="E80" s="19" t="s">
        <v>95</v>
      </c>
      <c r="F80" s="1"/>
      <c r="G80" s="12"/>
      <c r="H80" s="15" t="s">
        <v>713</v>
      </c>
      <c r="I80" s="16" t="s">
        <v>525</v>
      </c>
      <c r="J80" s="16" t="s">
        <v>46</v>
      </c>
    </row>
    <row r="81" spans="1:10" ht="16.5">
      <c r="A81" s="1"/>
      <c r="B81" s="9" t="s">
        <v>279</v>
      </c>
      <c r="C81" s="10" t="s">
        <v>722</v>
      </c>
      <c r="D81" s="11"/>
      <c r="E81" s="11"/>
      <c r="F81" s="1"/>
      <c r="G81" s="12"/>
      <c r="H81" s="15" t="s">
        <v>713</v>
      </c>
      <c r="I81" s="16" t="s">
        <v>524</v>
      </c>
      <c r="J81" s="16" t="s">
        <v>265</v>
      </c>
    </row>
    <row r="82" spans="1:10" ht="17" thickBot="1">
      <c r="A82" s="1"/>
      <c r="B82" s="12"/>
      <c r="C82" s="13" t="s">
        <v>710</v>
      </c>
      <c r="D82" s="14" t="s">
        <v>286</v>
      </c>
      <c r="E82" s="14" t="s">
        <v>287</v>
      </c>
      <c r="F82" s="1"/>
      <c r="G82" s="17"/>
      <c r="H82" s="18" t="s">
        <v>713</v>
      </c>
      <c r="I82" s="19" t="s">
        <v>522</v>
      </c>
      <c r="J82" s="19" t="s">
        <v>226</v>
      </c>
    </row>
    <row r="83" spans="1:10" ht="16.5">
      <c r="A83" s="1"/>
      <c r="B83" s="12"/>
      <c r="C83" s="15" t="s">
        <v>711</v>
      </c>
      <c r="D83" s="16" t="s">
        <v>282</v>
      </c>
      <c r="E83" s="16" t="s">
        <v>283</v>
      </c>
      <c r="F83" s="1"/>
      <c r="G83" s="9" t="s">
        <v>531</v>
      </c>
      <c r="H83" s="10" t="s">
        <v>750</v>
      </c>
      <c r="I83" s="11"/>
      <c r="J83" s="11"/>
    </row>
    <row r="84" spans="1:10" ht="16.5">
      <c r="A84" s="1"/>
      <c r="B84" s="12"/>
      <c r="C84" s="15" t="s">
        <v>712</v>
      </c>
      <c r="D84" s="16" t="s">
        <v>281</v>
      </c>
      <c r="E84" s="16" t="s">
        <v>41</v>
      </c>
      <c r="F84" s="1"/>
      <c r="G84" s="12"/>
      <c r="H84" s="13" t="s">
        <v>710</v>
      </c>
      <c r="I84" s="14" t="s">
        <v>539</v>
      </c>
      <c r="J84" s="14" t="s">
        <v>355</v>
      </c>
    </row>
    <row r="85" spans="1:10" ht="17" thickBot="1">
      <c r="A85" s="1"/>
      <c r="B85" s="17"/>
      <c r="C85" s="18" t="s">
        <v>712</v>
      </c>
      <c r="D85" s="19" t="s">
        <v>280</v>
      </c>
      <c r="E85" s="19" t="s">
        <v>18</v>
      </c>
      <c r="F85" s="1"/>
      <c r="G85" s="12"/>
      <c r="H85" s="15" t="s">
        <v>711</v>
      </c>
      <c r="I85" s="16" t="s">
        <v>535</v>
      </c>
      <c r="J85" s="16" t="s">
        <v>42</v>
      </c>
    </row>
    <row r="86" spans="1:10" ht="16.5">
      <c r="A86" s="1"/>
      <c r="B86" s="9" t="s">
        <v>288</v>
      </c>
      <c r="C86" s="10" t="s">
        <v>724</v>
      </c>
      <c r="D86" s="11"/>
      <c r="E86" s="11"/>
      <c r="F86" s="1"/>
      <c r="G86" s="12"/>
      <c r="H86" s="15" t="s">
        <v>712</v>
      </c>
      <c r="I86" s="16" t="s">
        <v>537</v>
      </c>
      <c r="J86" s="16" t="s">
        <v>46</v>
      </c>
    </row>
    <row r="87" spans="1:10" ht="16.5">
      <c r="A87" s="1"/>
      <c r="B87" s="12"/>
      <c r="C87" s="13" t="s">
        <v>710</v>
      </c>
      <c r="D87" s="14" t="s">
        <v>292</v>
      </c>
      <c r="E87" s="14" t="s">
        <v>33</v>
      </c>
      <c r="F87" s="1"/>
      <c r="G87" s="12"/>
      <c r="H87" s="15" t="s">
        <v>712</v>
      </c>
      <c r="I87" s="16" t="s">
        <v>533</v>
      </c>
      <c r="J87" s="16" t="s">
        <v>82</v>
      </c>
    </row>
    <row r="88" spans="1:10" ht="16.5">
      <c r="A88" s="1"/>
      <c r="B88" s="12"/>
      <c r="C88" s="15" t="s">
        <v>711</v>
      </c>
      <c r="D88" s="16" t="s">
        <v>297</v>
      </c>
      <c r="E88" s="16" t="s">
        <v>135</v>
      </c>
      <c r="F88" s="1"/>
      <c r="G88" s="12"/>
      <c r="H88" s="15" t="s">
        <v>713</v>
      </c>
      <c r="I88" s="16" t="s">
        <v>540</v>
      </c>
      <c r="J88" s="16" t="s">
        <v>417</v>
      </c>
    </row>
    <row r="89" spans="1:10" ht="16.5">
      <c r="A89" s="1"/>
      <c r="B89" s="12"/>
      <c r="C89" s="15" t="s">
        <v>712</v>
      </c>
      <c r="D89" s="16" t="s">
        <v>298</v>
      </c>
      <c r="E89" s="16" t="s">
        <v>59</v>
      </c>
      <c r="F89" s="1"/>
      <c r="G89" s="12"/>
      <c r="H89" s="15" t="s">
        <v>713</v>
      </c>
      <c r="I89" s="16" t="s">
        <v>534</v>
      </c>
      <c r="J89" s="16" t="s">
        <v>265</v>
      </c>
    </row>
    <row r="90" spans="1:10" ht="17" thickBot="1">
      <c r="A90" s="1"/>
      <c r="B90" s="17"/>
      <c r="C90" s="18" t="s">
        <v>712</v>
      </c>
      <c r="D90" s="19" t="s">
        <v>289</v>
      </c>
      <c r="E90" s="19" t="s">
        <v>69</v>
      </c>
      <c r="F90" s="1"/>
      <c r="G90" s="12"/>
      <c r="H90" s="15" t="s">
        <v>713</v>
      </c>
      <c r="I90" s="16" t="s">
        <v>532</v>
      </c>
      <c r="J90" s="16" t="s">
        <v>73</v>
      </c>
    </row>
    <row r="91" spans="1:10" ht="17" thickBot="1">
      <c r="A91" s="1"/>
      <c r="B91" s="9" t="s">
        <v>299</v>
      </c>
      <c r="C91" s="10" t="s">
        <v>725</v>
      </c>
      <c r="D91" s="11"/>
      <c r="E91" s="11"/>
      <c r="F91" s="1"/>
      <c r="G91" s="17"/>
      <c r="H91" s="18" t="s">
        <v>713</v>
      </c>
      <c r="I91" s="19" t="s">
        <v>536</v>
      </c>
      <c r="J91" s="19" t="s">
        <v>189</v>
      </c>
    </row>
    <row r="92" spans="1:10" ht="16.5">
      <c r="A92" s="1"/>
      <c r="B92" s="12"/>
      <c r="C92" s="13" t="s">
        <v>710</v>
      </c>
      <c r="D92" s="14" t="s">
        <v>300</v>
      </c>
      <c r="E92" s="14" t="s">
        <v>301</v>
      </c>
      <c r="F92" s="1"/>
      <c r="G92" s="9" t="s">
        <v>541</v>
      </c>
      <c r="H92" s="10" t="s">
        <v>751</v>
      </c>
      <c r="I92" s="11"/>
      <c r="J92" s="11"/>
    </row>
    <row r="93" spans="1:10" ht="16.5">
      <c r="A93" s="1"/>
      <c r="B93" s="12"/>
      <c r="C93" s="15" t="s">
        <v>711</v>
      </c>
      <c r="D93" s="16" t="s">
        <v>305</v>
      </c>
      <c r="E93" s="16" t="s">
        <v>108</v>
      </c>
      <c r="F93" s="1"/>
      <c r="G93" s="12"/>
      <c r="H93" s="13" t="s">
        <v>710</v>
      </c>
      <c r="I93" s="14" t="s">
        <v>547</v>
      </c>
      <c r="J93" s="14" t="s">
        <v>309</v>
      </c>
    </row>
    <row r="94" spans="1:10" ht="16.5">
      <c r="A94" s="1"/>
      <c r="B94" s="12"/>
      <c r="C94" s="15" t="s">
        <v>712</v>
      </c>
      <c r="D94" s="16" t="s">
        <v>302</v>
      </c>
      <c r="E94" s="16" t="s">
        <v>33</v>
      </c>
      <c r="F94" s="1"/>
      <c r="G94" s="12"/>
      <c r="H94" s="15" t="s">
        <v>711</v>
      </c>
      <c r="I94" s="16" t="s">
        <v>548</v>
      </c>
      <c r="J94" s="16" t="s">
        <v>36</v>
      </c>
    </row>
    <row r="95" spans="1:10" ht="17" thickBot="1">
      <c r="A95" s="1"/>
      <c r="B95" s="17"/>
      <c r="C95" s="18" t="s">
        <v>712</v>
      </c>
      <c r="D95" s="19" t="s">
        <v>303</v>
      </c>
      <c r="E95" s="19" t="s">
        <v>49</v>
      </c>
      <c r="F95" s="1"/>
      <c r="G95" s="12"/>
      <c r="H95" s="15" t="s">
        <v>712</v>
      </c>
      <c r="I95" s="16" t="s">
        <v>546</v>
      </c>
      <c r="J95" s="16" t="s">
        <v>22</v>
      </c>
    </row>
    <row r="96" spans="1:10" ht="16.5">
      <c r="A96" s="1"/>
      <c r="B96" s="9" t="s">
        <v>306</v>
      </c>
      <c r="C96" s="10" t="s">
        <v>727</v>
      </c>
      <c r="D96" s="11"/>
      <c r="E96" s="11"/>
      <c r="F96" s="1"/>
      <c r="G96" s="12"/>
      <c r="H96" s="15" t="s">
        <v>712</v>
      </c>
      <c r="I96" s="16" t="s">
        <v>553</v>
      </c>
      <c r="J96" s="16" t="s">
        <v>202</v>
      </c>
    </row>
    <row r="97" spans="1:10" ht="16.5">
      <c r="A97" s="1"/>
      <c r="B97" s="12"/>
      <c r="C97" s="13" t="s">
        <v>710</v>
      </c>
      <c r="D97" s="14" t="s">
        <v>312</v>
      </c>
      <c r="E97" s="14" t="s">
        <v>101</v>
      </c>
      <c r="F97" s="1"/>
      <c r="G97" s="12"/>
      <c r="H97" s="15" t="s">
        <v>713</v>
      </c>
      <c r="I97" s="16" t="s">
        <v>551</v>
      </c>
      <c r="J97" s="16" t="s">
        <v>528</v>
      </c>
    </row>
    <row r="98" spans="1:10" ht="16.5">
      <c r="A98" s="1"/>
      <c r="B98" s="12"/>
      <c r="C98" s="15" t="s">
        <v>711</v>
      </c>
      <c r="D98" s="16" t="s">
        <v>308</v>
      </c>
      <c r="E98" s="16" t="s">
        <v>309</v>
      </c>
      <c r="F98" s="1"/>
      <c r="G98" s="12"/>
      <c r="H98" s="15" t="s">
        <v>713</v>
      </c>
      <c r="I98" s="16" t="s">
        <v>542</v>
      </c>
      <c r="J98" s="16" t="s">
        <v>226</v>
      </c>
    </row>
    <row r="99" spans="1:10" ht="16.5">
      <c r="A99" s="1"/>
      <c r="B99" s="12"/>
      <c r="C99" s="15" t="s">
        <v>712</v>
      </c>
      <c r="D99" s="16" t="s">
        <v>310</v>
      </c>
      <c r="E99" s="16" t="s">
        <v>214</v>
      </c>
      <c r="F99" s="1"/>
      <c r="G99" s="12"/>
      <c r="H99" s="15" t="s">
        <v>713</v>
      </c>
      <c r="I99" s="16" t="s">
        <v>552</v>
      </c>
      <c r="J99" s="16" t="s">
        <v>355</v>
      </c>
    </row>
    <row r="100" spans="1:10" ht="17" thickBot="1">
      <c r="A100" s="1"/>
      <c r="B100" s="17"/>
      <c r="C100" s="18" t="s">
        <v>712</v>
      </c>
      <c r="D100" s="19" t="s">
        <v>307</v>
      </c>
      <c r="E100" s="19" t="s">
        <v>75</v>
      </c>
      <c r="F100" s="1"/>
      <c r="G100" s="17"/>
      <c r="H100" s="18" t="s">
        <v>713</v>
      </c>
      <c r="I100" s="19" t="s">
        <v>550</v>
      </c>
      <c r="J100" s="19" t="s">
        <v>447</v>
      </c>
    </row>
    <row r="101" spans="1:10" ht="16.5">
      <c r="A101" s="1"/>
      <c r="B101" s="9" t="s">
        <v>313</v>
      </c>
      <c r="C101" s="10" t="s">
        <v>728</v>
      </c>
      <c r="D101" s="11"/>
      <c r="E101" s="11"/>
      <c r="F101" s="1"/>
      <c r="G101" s="9" t="s">
        <v>554</v>
      </c>
      <c r="H101" s="10" t="s">
        <v>752</v>
      </c>
      <c r="I101" s="11"/>
      <c r="J101" s="11"/>
    </row>
    <row r="102" spans="1:10" ht="16.5">
      <c r="A102" s="1"/>
      <c r="B102" s="12"/>
      <c r="C102" s="13" t="s">
        <v>710</v>
      </c>
      <c r="D102" s="14" t="s">
        <v>314</v>
      </c>
      <c r="E102" s="14" t="s">
        <v>75</v>
      </c>
      <c r="F102" s="1"/>
      <c r="G102" s="12"/>
      <c r="H102" s="13" t="s">
        <v>710</v>
      </c>
      <c r="I102" s="14" t="s">
        <v>559</v>
      </c>
      <c r="J102" s="14" t="s">
        <v>370</v>
      </c>
    </row>
    <row r="103" spans="1:10" ht="16.5">
      <c r="A103" s="1"/>
      <c r="B103" s="12"/>
      <c r="C103" s="15" t="s">
        <v>711</v>
      </c>
      <c r="D103" s="16" t="s">
        <v>317</v>
      </c>
      <c r="E103" s="16" t="s">
        <v>47</v>
      </c>
      <c r="F103" s="1"/>
      <c r="G103" s="12"/>
      <c r="H103" s="15" t="s">
        <v>711</v>
      </c>
      <c r="I103" s="16" t="s">
        <v>560</v>
      </c>
      <c r="J103" s="16" t="s">
        <v>561</v>
      </c>
    </row>
    <row r="104" spans="1:10" ht="16.5">
      <c r="A104" s="1"/>
      <c r="B104" s="12"/>
      <c r="C104" s="15" t="s">
        <v>712</v>
      </c>
      <c r="D104" s="16" t="s">
        <v>320</v>
      </c>
      <c r="E104" s="16" t="s">
        <v>202</v>
      </c>
      <c r="F104" s="1"/>
      <c r="G104" s="12"/>
      <c r="H104" s="15" t="s">
        <v>712</v>
      </c>
      <c r="I104" s="16" t="s">
        <v>565</v>
      </c>
      <c r="J104" s="16" t="s">
        <v>337</v>
      </c>
    </row>
    <row r="105" spans="1:10" ht="17" thickBot="1">
      <c r="A105" s="1"/>
      <c r="B105" s="17"/>
      <c r="C105" s="18" t="s">
        <v>712</v>
      </c>
      <c r="D105" s="19" t="s">
        <v>316</v>
      </c>
      <c r="E105" s="19" t="s">
        <v>31</v>
      </c>
      <c r="F105" s="1"/>
      <c r="G105" s="12"/>
      <c r="H105" s="15" t="s">
        <v>712</v>
      </c>
      <c r="I105" s="16" t="s">
        <v>555</v>
      </c>
      <c r="J105" s="16" t="s">
        <v>272</v>
      </c>
    </row>
    <row r="106" spans="1:10" ht="16.5">
      <c r="A106" s="1"/>
      <c r="B106" s="9" t="s">
        <v>321</v>
      </c>
      <c r="C106" s="10" t="s">
        <v>730</v>
      </c>
      <c r="D106" s="11"/>
      <c r="E106" s="11"/>
      <c r="F106" s="1"/>
      <c r="G106" s="12"/>
      <c r="H106" s="15" t="s">
        <v>713</v>
      </c>
      <c r="I106" s="16" t="s">
        <v>563</v>
      </c>
      <c r="J106" s="16" t="s">
        <v>132</v>
      </c>
    </row>
    <row r="107" spans="1:10" ht="16.5">
      <c r="A107" s="1"/>
      <c r="B107" s="12"/>
      <c r="C107" s="13" t="s">
        <v>710</v>
      </c>
      <c r="D107" s="14" t="s">
        <v>323</v>
      </c>
      <c r="E107" s="14" t="s">
        <v>14</v>
      </c>
      <c r="F107" s="1"/>
      <c r="G107" s="12"/>
      <c r="H107" s="15" t="s">
        <v>713</v>
      </c>
      <c r="I107" s="16" t="s">
        <v>566</v>
      </c>
      <c r="J107" s="16" t="s">
        <v>355</v>
      </c>
    </row>
    <row r="108" spans="1:10" ht="16.5">
      <c r="A108" s="1"/>
      <c r="B108" s="12"/>
      <c r="C108" s="15" t="s">
        <v>711</v>
      </c>
      <c r="D108" s="16" t="s">
        <v>327</v>
      </c>
      <c r="E108" s="16" t="s">
        <v>43</v>
      </c>
      <c r="F108" s="1"/>
      <c r="G108" s="12"/>
      <c r="H108" s="15" t="s">
        <v>713</v>
      </c>
      <c r="I108" s="16" t="s">
        <v>557</v>
      </c>
      <c r="J108" s="16" t="s">
        <v>558</v>
      </c>
    </row>
    <row r="109" spans="1:10" ht="17" thickBot="1">
      <c r="A109" s="1"/>
      <c r="B109" s="12"/>
      <c r="C109" s="15" t="s">
        <v>712</v>
      </c>
      <c r="D109" s="16" t="s">
        <v>326</v>
      </c>
      <c r="E109" s="16" t="s">
        <v>35</v>
      </c>
      <c r="F109" s="1"/>
      <c r="G109" s="17"/>
      <c r="H109" s="18" t="s">
        <v>713</v>
      </c>
      <c r="I109" s="19" t="s">
        <v>556</v>
      </c>
      <c r="J109" s="19" t="s">
        <v>394</v>
      </c>
    </row>
    <row r="110" spans="1:10" ht="17" thickBot="1">
      <c r="A110" s="1"/>
      <c r="B110" s="17"/>
      <c r="C110" s="18" t="s">
        <v>712</v>
      </c>
      <c r="D110" s="19" t="s">
        <v>328</v>
      </c>
      <c r="E110" s="19" t="s">
        <v>96</v>
      </c>
      <c r="F110" s="1"/>
      <c r="G110" s="9" t="s">
        <v>568</v>
      </c>
      <c r="H110" s="10" t="s">
        <v>753</v>
      </c>
      <c r="I110" s="11"/>
      <c r="J110" s="11"/>
    </row>
    <row r="111" spans="1:10" ht="16.5">
      <c r="A111" s="1"/>
      <c r="B111" s="9" t="s">
        <v>331</v>
      </c>
      <c r="C111" s="10" t="s">
        <v>731</v>
      </c>
      <c r="D111" s="11"/>
      <c r="E111" s="11"/>
      <c r="F111" s="1"/>
      <c r="G111" s="12"/>
      <c r="H111" s="13" t="s">
        <v>710</v>
      </c>
      <c r="I111" s="14" t="s">
        <v>581</v>
      </c>
      <c r="J111" s="14" t="s">
        <v>202</v>
      </c>
    </row>
    <row r="112" spans="1:10" ht="16.5">
      <c r="A112" s="1"/>
      <c r="B112" s="12"/>
      <c r="C112" s="13" t="s">
        <v>710</v>
      </c>
      <c r="D112" s="14" t="s">
        <v>338</v>
      </c>
      <c r="E112" s="14" t="s">
        <v>202</v>
      </c>
      <c r="F112" s="1"/>
      <c r="G112" s="12"/>
      <c r="H112" s="15" t="s">
        <v>711</v>
      </c>
      <c r="I112" s="16" t="s">
        <v>571</v>
      </c>
      <c r="J112" s="16" t="s">
        <v>84</v>
      </c>
    </row>
    <row r="113" spans="1:10" ht="16.5">
      <c r="A113" s="1"/>
      <c r="B113" s="12"/>
      <c r="C113" s="15" t="s">
        <v>711</v>
      </c>
      <c r="D113" s="16" t="s">
        <v>332</v>
      </c>
      <c r="E113" s="16" t="s">
        <v>322</v>
      </c>
      <c r="F113" s="1"/>
      <c r="G113" s="12"/>
      <c r="H113" s="15" t="s">
        <v>712</v>
      </c>
      <c r="I113" s="16" t="s">
        <v>575</v>
      </c>
      <c r="J113" s="16" t="s">
        <v>91</v>
      </c>
    </row>
    <row r="114" spans="1:10" ht="16.5">
      <c r="A114" s="1"/>
      <c r="B114" s="12"/>
      <c r="C114" s="15" t="s">
        <v>712</v>
      </c>
      <c r="D114" s="16" t="s">
        <v>336</v>
      </c>
      <c r="E114" s="16" t="s">
        <v>86</v>
      </c>
      <c r="F114" s="1"/>
      <c r="G114" s="12"/>
      <c r="H114" s="15" t="s">
        <v>712</v>
      </c>
      <c r="I114" s="16" t="s">
        <v>582</v>
      </c>
      <c r="J114" s="16" t="s">
        <v>174</v>
      </c>
    </row>
    <row r="115" spans="1:10" ht="17" thickBot="1">
      <c r="A115" s="1"/>
      <c r="B115" s="17"/>
      <c r="C115" s="18" t="s">
        <v>712</v>
      </c>
      <c r="D115" s="19" t="s">
        <v>335</v>
      </c>
      <c r="E115" s="19" t="s">
        <v>35</v>
      </c>
      <c r="F115" s="1"/>
      <c r="G115" s="12"/>
      <c r="H115" s="15" t="s">
        <v>713</v>
      </c>
      <c r="I115" s="16" t="s">
        <v>578</v>
      </c>
      <c r="J115" s="16" t="s">
        <v>337</v>
      </c>
    </row>
    <row r="116" spans="1:10" ht="16.5">
      <c r="A116" s="1"/>
      <c r="B116" s="9" t="s">
        <v>339</v>
      </c>
      <c r="C116" s="10" t="s">
        <v>732</v>
      </c>
      <c r="D116" s="11"/>
      <c r="E116" s="11"/>
      <c r="F116" s="1"/>
      <c r="G116" s="12"/>
      <c r="H116" s="15" t="s">
        <v>713</v>
      </c>
      <c r="I116" s="16" t="s">
        <v>572</v>
      </c>
      <c r="J116" s="16" t="s">
        <v>156</v>
      </c>
    </row>
    <row r="117" spans="1:10" ht="16.5">
      <c r="A117" s="1"/>
      <c r="B117" s="12"/>
      <c r="C117" s="13" t="s">
        <v>710</v>
      </c>
      <c r="D117" s="14" t="s">
        <v>340</v>
      </c>
      <c r="E117" s="14" t="s">
        <v>333</v>
      </c>
      <c r="F117" s="1"/>
      <c r="G117" s="12"/>
      <c r="H117" s="15" t="s">
        <v>713</v>
      </c>
      <c r="I117" s="16" t="s">
        <v>577</v>
      </c>
      <c r="J117" s="16" t="s">
        <v>319</v>
      </c>
    </row>
    <row r="118" spans="1:10" ht="17" thickBot="1">
      <c r="A118" s="1"/>
      <c r="B118" s="12"/>
      <c r="C118" s="15" t="s">
        <v>711</v>
      </c>
      <c r="D118" s="16" t="s">
        <v>343</v>
      </c>
      <c r="E118" s="16" t="s">
        <v>344</v>
      </c>
      <c r="F118" s="1"/>
      <c r="G118" s="17"/>
      <c r="H118" s="18" t="s">
        <v>713</v>
      </c>
      <c r="I118" s="19" t="s">
        <v>570</v>
      </c>
      <c r="J118" s="19" t="s">
        <v>290</v>
      </c>
    </row>
    <row r="119" spans="1:10" ht="16.5">
      <c r="A119" s="1"/>
      <c r="B119" s="12"/>
      <c r="C119" s="15" t="s">
        <v>712</v>
      </c>
      <c r="D119" s="16" t="s">
        <v>345</v>
      </c>
      <c r="E119" s="16" t="s">
        <v>192</v>
      </c>
      <c r="F119" s="1"/>
      <c r="G119" s="9" t="s">
        <v>583</v>
      </c>
      <c r="H119" s="10" t="s">
        <v>754</v>
      </c>
      <c r="I119" s="11"/>
      <c r="J119" s="11"/>
    </row>
    <row r="120" spans="1:10" ht="17" thickBot="1">
      <c r="A120" s="1"/>
      <c r="B120" s="17"/>
      <c r="C120" s="18" t="s">
        <v>712</v>
      </c>
      <c r="D120" s="19" t="s">
        <v>346</v>
      </c>
      <c r="E120" s="19" t="s">
        <v>202</v>
      </c>
      <c r="F120" s="1"/>
      <c r="G120" s="12"/>
      <c r="H120" s="13" t="s">
        <v>710</v>
      </c>
      <c r="I120" s="14" t="s">
        <v>587</v>
      </c>
      <c r="J120" s="14" t="s">
        <v>185</v>
      </c>
    </row>
    <row r="121" spans="1:10" ht="16.5">
      <c r="A121" s="1"/>
      <c r="B121" s="9" t="s">
        <v>347</v>
      </c>
      <c r="C121" s="10" t="s">
        <v>733</v>
      </c>
      <c r="D121" s="11"/>
      <c r="E121" s="11"/>
      <c r="F121" s="1"/>
      <c r="G121" s="12"/>
      <c r="H121" s="15" t="s">
        <v>711</v>
      </c>
      <c r="I121" s="16" t="s">
        <v>588</v>
      </c>
      <c r="J121" s="16" t="s">
        <v>84</v>
      </c>
    </row>
    <row r="122" spans="1:10" ht="16.5">
      <c r="A122" s="1"/>
      <c r="B122" s="12"/>
      <c r="C122" s="13" t="s">
        <v>710</v>
      </c>
      <c r="D122" s="14" t="s">
        <v>354</v>
      </c>
      <c r="E122" s="14" t="s">
        <v>355</v>
      </c>
      <c r="F122" s="1"/>
      <c r="G122" s="12"/>
      <c r="H122" s="15" t="s">
        <v>712</v>
      </c>
      <c r="I122" s="16" t="s">
        <v>593</v>
      </c>
      <c r="J122" s="16" t="s">
        <v>202</v>
      </c>
    </row>
    <row r="123" spans="1:10" ht="16.5">
      <c r="A123" s="1"/>
      <c r="B123" s="12"/>
      <c r="C123" s="15" t="s">
        <v>711</v>
      </c>
      <c r="D123" s="16" t="s">
        <v>352</v>
      </c>
      <c r="E123" s="16" t="s">
        <v>192</v>
      </c>
      <c r="F123" s="1"/>
      <c r="G123" s="12"/>
      <c r="H123" s="15" t="s">
        <v>712</v>
      </c>
      <c r="I123" s="16" t="s">
        <v>590</v>
      </c>
      <c r="J123" s="16" t="s">
        <v>190</v>
      </c>
    </row>
    <row r="124" spans="1:10" ht="16.5">
      <c r="A124" s="1"/>
      <c r="B124" s="12"/>
      <c r="C124" s="15" t="s">
        <v>712</v>
      </c>
      <c r="D124" s="16" t="s">
        <v>356</v>
      </c>
      <c r="E124" s="16" t="s">
        <v>109</v>
      </c>
      <c r="F124" s="1"/>
      <c r="G124" s="12"/>
      <c r="H124" s="15" t="s">
        <v>713</v>
      </c>
      <c r="I124" s="16" t="s">
        <v>586</v>
      </c>
      <c r="J124" s="16" t="s">
        <v>28</v>
      </c>
    </row>
    <row r="125" spans="1:10" ht="17" thickBot="1">
      <c r="A125" s="1"/>
      <c r="B125" s="17"/>
      <c r="C125" s="18" t="s">
        <v>712</v>
      </c>
      <c r="D125" s="19" t="s">
        <v>349</v>
      </c>
      <c r="E125" s="19" t="s">
        <v>28</v>
      </c>
      <c r="F125" s="1"/>
      <c r="G125" s="12"/>
      <c r="H125" s="15" t="s">
        <v>713</v>
      </c>
      <c r="I125" s="16" t="s">
        <v>594</v>
      </c>
      <c r="J125" s="16" t="s">
        <v>174</v>
      </c>
    </row>
    <row r="126" spans="1:10" ht="16.5">
      <c r="A126" s="1"/>
      <c r="B126" s="9" t="s">
        <v>357</v>
      </c>
      <c r="C126" s="10" t="s">
        <v>734</v>
      </c>
      <c r="D126" s="11"/>
      <c r="E126" s="11"/>
      <c r="F126" s="1"/>
      <c r="G126" s="12"/>
      <c r="H126" s="15" t="s">
        <v>713</v>
      </c>
      <c r="I126" s="16" t="s">
        <v>592</v>
      </c>
      <c r="J126" s="16" t="s">
        <v>221</v>
      </c>
    </row>
    <row r="127" spans="1:10" ht="17" thickBot="1">
      <c r="A127" s="1"/>
      <c r="B127" s="12"/>
      <c r="C127" s="13" t="s">
        <v>710</v>
      </c>
      <c r="D127" s="14" t="s">
        <v>363</v>
      </c>
      <c r="E127" s="14" t="s">
        <v>133</v>
      </c>
      <c r="F127" s="1"/>
      <c r="G127" s="17"/>
      <c r="H127" s="18" t="s">
        <v>713</v>
      </c>
      <c r="I127" s="19" t="s">
        <v>584</v>
      </c>
      <c r="J127" s="19" t="s">
        <v>251</v>
      </c>
    </row>
    <row r="128" spans="1:10" ht="16.5">
      <c r="A128" s="1"/>
      <c r="B128" s="12"/>
      <c r="C128" s="15" t="s">
        <v>711</v>
      </c>
      <c r="D128" s="16" t="s">
        <v>358</v>
      </c>
      <c r="E128" s="16" t="s">
        <v>14</v>
      </c>
      <c r="F128" s="1"/>
      <c r="G128" s="9" t="s">
        <v>595</v>
      </c>
      <c r="H128" s="10" t="s">
        <v>755</v>
      </c>
      <c r="I128" s="11"/>
      <c r="J128" s="11"/>
    </row>
    <row r="129" spans="1:10" ht="16.5">
      <c r="A129" s="1"/>
      <c r="B129" s="12"/>
      <c r="C129" s="15" t="s">
        <v>712</v>
      </c>
      <c r="D129" s="16" t="s">
        <v>361</v>
      </c>
      <c r="E129" s="16" t="s">
        <v>213</v>
      </c>
      <c r="F129" s="1"/>
      <c r="G129" s="12"/>
      <c r="H129" s="13" t="s">
        <v>710</v>
      </c>
      <c r="I129" s="14" t="s">
        <v>609</v>
      </c>
      <c r="J129" s="14" t="s">
        <v>174</v>
      </c>
    </row>
    <row r="130" spans="1:10" ht="17" thickBot="1">
      <c r="A130" s="1"/>
      <c r="B130" s="17"/>
      <c r="C130" s="18" t="s">
        <v>712</v>
      </c>
      <c r="D130" s="19" t="s">
        <v>360</v>
      </c>
      <c r="E130" s="19" t="s">
        <v>341</v>
      </c>
      <c r="F130" s="1"/>
      <c r="G130" s="12"/>
      <c r="H130" s="15" t="s">
        <v>711</v>
      </c>
      <c r="I130" s="16" t="s">
        <v>606</v>
      </c>
      <c r="J130" s="16" t="s">
        <v>106</v>
      </c>
    </row>
    <row r="131" spans="1:10" ht="16.5">
      <c r="A131" s="1"/>
      <c r="B131" s="9" t="s">
        <v>366</v>
      </c>
      <c r="C131" s="10" t="s">
        <v>735</v>
      </c>
      <c r="D131" s="11"/>
      <c r="E131" s="11"/>
      <c r="F131" s="1"/>
      <c r="G131" s="12"/>
      <c r="H131" s="15" t="s">
        <v>712</v>
      </c>
      <c r="I131" s="16" t="s">
        <v>599</v>
      </c>
      <c r="J131" s="16" t="s">
        <v>600</v>
      </c>
    </row>
    <row r="132" spans="1:10" ht="16.5">
      <c r="A132" s="1"/>
      <c r="B132" s="12"/>
      <c r="C132" s="13" t="s">
        <v>710</v>
      </c>
      <c r="D132" s="14" t="s">
        <v>379</v>
      </c>
      <c r="E132" s="14" t="s">
        <v>380</v>
      </c>
      <c r="F132" s="1"/>
      <c r="G132" s="12"/>
      <c r="H132" s="15" t="s">
        <v>712</v>
      </c>
      <c r="I132" s="16" t="s">
        <v>598</v>
      </c>
      <c r="J132" s="16" t="s">
        <v>9</v>
      </c>
    </row>
    <row r="133" spans="1:10" ht="16.5">
      <c r="A133" s="1"/>
      <c r="B133" s="12"/>
      <c r="C133" s="15" t="s">
        <v>711</v>
      </c>
      <c r="D133" s="16" t="s">
        <v>371</v>
      </c>
      <c r="E133" s="16" t="s">
        <v>372</v>
      </c>
      <c r="F133" s="1"/>
      <c r="G133" s="12"/>
      <c r="H133" s="15" t="s">
        <v>713</v>
      </c>
      <c r="I133" s="16" t="s">
        <v>596</v>
      </c>
      <c r="J133" s="16" t="s">
        <v>597</v>
      </c>
    </row>
    <row r="134" spans="1:10" ht="16.5">
      <c r="A134" s="1"/>
      <c r="B134" s="12"/>
      <c r="C134" s="15" t="s">
        <v>712</v>
      </c>
      <c r="D134" s="16" t="s">
        <v>373</v>
      </c>
      <c r="E134" s="16" t="s">
        <v>85</v>
      </c>
      <c r="F134" s="1"/>
      <c r="G134" s="12"/>
      <c r="H134" s="15" t="s">
        <v>713</v>
      </c>
      <c r="I134" s="16" t="s">
        <v>608</v>
      </c>
      <c r="J134" s="16" t="s">
        <v>580</v>
      </c>
    </row>
    <row r="135" spans="1:10" ht="17" thickBot="1">
      <c r="A135" s="1"/>
      <c r="B135" s="17"/>
      <c r="C135" s="18" t="s">
        <v>712</v>
      </c>
      <c r="D135" s="19" t="s">
        <v>377</v>
      </c>
      <c r="E135" s="19" t="s">
        <v>378</v>
      </c>
      <c r="F135" s="1"/>
      <c r="G135" s="12"/>
      <c r="H135" s="15" t="s">
        <v>713</v>
      </c>
      <c r="I135" s="16" t="s">
        <v>601</v>
      </c>
      <c r="J135" s="16" t="s">
        <v>264</v>
      </c>
    </row>
    <row r="136" spans="1:10" ht="17" thickBot="1">
      <c r="A136" s="1"/>
      <c r="B136" s="9" t="s">
        <v>381</v>
      </c>
      <c r="C136" s="10" t="s">
        <v>736</v>
      </c>
      <c r="D136" s="11"/>
      <c r="E136" s="11"/>
      <c r="F136" s="1"/>
      <c r="G136" s="17"/>
      <c r="H136" s="18" t="s">
        <v>713</v>
      </c>
      <c r="I136" s="19" t="s">
        <v>604</v>
      </c>
      <c r="J136" s="19" t="s">
        <v>284</v>
      </c>
    </row>
    <row r="137" spans="1:10" ht="16.5">
      <c r="A137" s="1"/>
      <c r="B137" s="12"/>
      <c r="C137" s="13" t="s">
        <v>710</v>
      </c>
      <c r="D137" s="14" t="s">
        <v>386</v>
      </c>
      <c r="E137" s="14" t="s">
        <v>387</v>
      </c>
      <c r="F137" s="1"/>
      <c r="G137" s="9" t="s">
        <v>610</v>
      </c>
      <c r="H137" s="10" t="s">
        <v>756</v>
      </c>
      <c r="I137" s="11"/>
      <c r="J137" s="11"/>
    </row>
    <row r="138" spans="1:10" ht="16.5">
      <c r="A138" s="1"/>
      <c r="B138" s="12"/>
      <c r="C138" s="15" t="s">
        <v>711</v>
      </c>
      <c r="D138" s="16" t="s">
        <v>389</v>
      </c>
      <c r="E138" s="16" t="s">
        <v>390</v>
      </c>
      <c r="F138" s="1"/>
      <c r="G138" s="12"/>
      <c r="H138" s="13" t="s">
        <v>710</v>
      </c>
      <c r="I138" s="14" t="s">
        <v>621</v>
      </c>
      <c r="J138" s="14" t="s">
        <v>202</v>
      </c>
    </row>
    <row r="139" spans="1:10" ht="16.5">
      <c r="A139" s="1"/>
      <c r="B139" s="12"/>
      <c r="C139" s="15" t="s">
        <v>712</v>
      </c>
      <c r="D139" s="16" t="s">
        <v>388</v>
      </c>
      <c r="E139" s="16" t="s">
        <v>42</v>
      </c>
      <c r="F139" s="1"/>
      <c r="G139" s="12"/>
      <c r="H139" s="15" t="s">
        <v>711</v>
      </c>
      <c r="I139" s="16" t="s">
        <v>619</v>
      </c>
      <c r="J139" s="16" t="s">
        <v>102</v>
      </c>
    </row>
    <row r="140" spans="1:10" ht="17" thickBot="1">
      <c r="A140" s="1"/>
      <c r="B140" s="17"/>
      <c r="C140" s="18" t="s">
        <v>712</v>
      </c>
      <c r="D140" s="19" t="s">
        <v>383</v>
      </c>
      <c r="E140" s="19" t="s">
        <v>68</v>
      </c>
      <c r="F140" s="1"/>
      <c r="G140" s="12"/>
      <c r="H140" s="15" t="s">
        <v>712</v>
      </c>
      <c r="I140" s="16" t="s">
        <v>622</v>
      </c>
      <c r="J140" s="16" t="s">
        <v>174</v>
      </c>
    </row>
    <row r="141" spans="1:10" ht="16.5">
      <c r="A141" s="1"/>
      <c r="B141" s="9" t="s">
        <v>392</v>
      </c>
      <c r="C141" s="10" t="s">
        <v>737</v>
      </c>
      <c r="D141" s="11"/>
      <c r="E141" s="11"/>
      <c r="F141" s="1"/>
      <c r="G141" s="12"/>
      <c r="H141" s="15" t="s">
        <v>712</v>
      </c>
      <c r="I141" s="16" t="s">
        <v>615</v>
      </c>
      <c r="J141" s="16" t="s">
        <v>600</v>
      </c>
    </row>
    <row r="142" spans="1:10" ht="16.5">
      <c r="A142" s="1"/>
      <c r="B142" s="12"/>
      <c r="C142" s="13" t="s">
        <v>710</v>
      </c>
      <c r="D142" s="14" t="s">
        <v>399</v>
      </c>
      <c r="E142" s="14" t="s">
        <v>380</v>
      </c>
      <c r="F142" s="1"/>
      <c r="G142" s="12"/>
      <c r="H142" s="15" t="s">
        <v>713</v>
      </c>
      <c r="I142" s="16" t="s">
        <v>612</v>
      </c>
      <c r="J142" s="16" t="s">
        <v>394</v>
      </c>
    </row>
    <row r="143" spans="1:10" ht="16.5">
      <c r="A143" s="1"/>
      <c r="B143" s="12"/>
      <c r="C143" s="15" t="s">
        <v>711</v>
      </c>
      <c r="D143" s="16" t="s">
        <v>398</v>
      </c>
      <c r="E143" s="16" t="s">
        <v>241</v>
      </c>
      <c r="F143" s="1"/>
      <c r="G143" s="12"/>
      <c r="H143" s="15" t="s">
        <v>713</v>
      </c>
      <c r="I143" s="16" t="s">
        <v>611</v>
      </c>
      <c r="J143" s="16" t="s">
        <v>111</v>
      </c>
    </row>
    <row r="144" spans="1:10" ht="16.5">
      <c r="A144" s="1"/>
      <c r="B144" s="12"/>
      <c r="C144" s="15" t="s">
        <v>712</v>
      </c>
      <c r="D144" s="16" t="s">
        <v>393</v>
      </c>
      <c r="E144" s="16" t="s">
        <v>68</v>
      </c>
      <c r="F144" s="1"/>
      <c r="G144" s="12"/>
      <c r="H144" s="15" t="s">
        <v>713</v>
      </c>
      <c r="I144" s="16" t="s">
        <v>613</v>
      </c>
      <c r="J144" s="16" t="s">
        <v>18</v>
      </c>
    </row>
    <row r="145" spans="1:10" ht="17" thickBot="1">
      <c r="A145" s="1"/>
      <c r="B145" s="17"/>
      <c r="C145" s="18" t="s">
        <v>712</v>
      </c>
      <c r="D145" s="19" t="s">
        <v>397</v>
      </c>
      <c r="E145" s="19" t="s">
        <v>133</v>
      </c>
      <c r="F145" s="1"/>
      <c r="G145" s="17"/>
      <c r="H145" s="18" t="s">
        <v>713</v>
      </c>
      <c r="I145" s="19" t="s">
        <v>616</v>
      </c>
      <c r="J145" s="19" t="s">
        <v>264</v>
      </c>
    </row>
    <row r="146" spans="1:10" ht="16.5">
      <c r="A146" s="1"/>
      <c r="B146" s="9" t="s">
        <v>400</v>
      </c>
      <c r="C146" s="10" t="s">
        <v>738</v>
      </c>
      <c r="D146" s="11"/>
      <c r="E146" s="11"/>
      <c r="F146" s="1"/>
      <c r="G146" s="9" t="s">
        <v>623</v>
      </c>
      <c r="H146" s="10" t="s">
        <v>757</v>
      </c>
      <c r="I146" s="11"/>
      <c r="J146" s="11"/>
    </row>
    <row r="147" spans="1:10" ht="16.5">
      <c r="A147" s="1"/>
      <c r="B147" s="12"/>
      <c r="C147" s="13" t="s">
        <v>710</v>
      </c>
      <c r="D147" s="14" t="s">
        <v>404</v>
      </c>
      <c r="E147" s="14" t="s">
        <v>82</v>
      </c>
      <c r="F147" s="1"/>
      <c r="G147" s="12"/>
      <c r="H147" s="13" t="s">
        <v>710</v>
      </c>
      <c r="I147" s="14" t="s">
        <v>636</v>
      </c>
      <c r="J147" s="14" t="s">
        <v>174</v>
      </c>
    </row>
    <row r="148" spans="1:10" ht="16.5">
      <c r="A148" s="1"/>
      <c r="B148" s="12"/>
      <c r="C148" s="15" t="s">
        <v>711</v>
      </c>
      <c r="D148" s="16" t="s">
        <v>407</v>
      </c>
      <c r="E148" s="16" t="s">
        <v>104</v>
      </c>
      <c r="F148" s="1"/>
      <c r="G148" s="12"/>
      <c r="H148" s="15" t="s">
        <v>711</v>
      </c>
      <c r="I148" s="16" t="s">
        <v>630</v>
      </c>
      <c r="J148" s="16" t="s">
        <v>164</v>
      </c>
    </row>
    <row r="149" spans="1:10" ht="16.5">
      <c r="A149" s="1"/>
      <c r="B149" s="12"/>
      <c r="C149" s="15" t="s">
        <v>712</v>
      </c>
      <c r="D149" s="16" t="s">
        <v>401</v>
      </c>
      <c r="E149" s="16" t="s">
        <v>176</v>
      </c>
      <c r="F149" s="1"/>
      <c r="G149" s="12"/>
      <c r="H149" s="15" t="s">
        <v>712</v>
      </c>
      <c r="I149" s="16" t="s">
        <v>624</v>
      </c>
      <c r="J149" s="16" t="s">
        <v>625</v>
      </c>
    </row>
    <row r="150" spans="1:10" ht="17" thickBot="1">
      <c r="A150" s="1"/>
      <c r="B150" s="17"/>
      <c r="C150" s="18" t="s">
        <v>712</v>
      </c>
      <c r="D150" s="19" t="s">
        <v>402</v>
      </c>
      <c r="E150" s="19" t="s">
        <v>10</v>
      </c>
      <c r="F150" s="1"/>
      <c r="G150" s="12"/>
      <c r="H150" s="15" t="s">
        <v>712</v>
      </c>
      <c r="I150" s="16" t="s">
        <v>635</v>
      </c>
      <c r="J150" s="16" t="s">
        <v>202</v>
      </c>
    </row>
    <row r="151" spans="1:10" ht="16.5">
      <c r="A151" s="1"/>
      <c r="B151" s="9" t="s">
        <v>409</v>
      </c>
      <c r="C151" s="10" t="s">
        <v>739</v>
      </c>
      <c r="D151" s="11"/>
      <c r="E151" s="11"/>
      <c r="F151" s="1"/>
      <c r="G151" s="12"/>
      <c r="H151" s="15" t="s">
        <v>713</v>
      </c>
      <c r="I151" s="16" t="s">
        <v>627</v>
      </c>
      <c r="J151" s="16" t="s">
        <v>264</v>
      </c>
    </row>
    <row r="152" spans="1:10" ht="16.5">
      <c r="A152" s="1"/>
      <c r="B152" s="12"/>
      <c r="C152" s="13" t="s">
        <v>710</v>
      </c>
      <c r="D152" s="14" t="s">
        <v>411</v>
      </c>
      <c r="E152" s="14" t="s">
        <v>10</v>
      </c>
      <c r="F152" s="1"/>
      <c r="G152" s="12"/>
      <c r="H152" s="15" t="s">
        <v>713</v>
      </c>
      <c r="I152" s="16" t="s">
        <v>631</v>
      </c>
      <c r="J152" s="16" t="s">
        <v>52</v>
      </c>
    </row>
    <row r="153" spans="1:10" ht="16.5">
      <c r="A153" s="1"/>
      <c r="B153" s="12"/>
      <c r="C153" s="15" t="s">
        <v>711</v>
      </c>
      <c r="D153" s="16" t="s">
        <v>412</v>
      </c>
      <c r="E153" s="16" t="s">
        <v>183</v>
      </c>
      <c r="F153" s="1"/>
      <c r="G153" s="12"/>
      <c r="H153" s="15" t="s">
        <v>713</v>
      </c>
      <c r="I153" s="16" t="s">
        <v>634</v>
      </c>
      <c r="J153" s="16" t="s">
        <v>62</v>
      </c>
    </row>
    <row r="154" spans="1:10" ht="17" thickBot="1">
      <c r="A154" s="1"/>
      <c r="B154" s="12"/>
      <c r="C154" s="15" t="s">
        <v>712</v>
      </c>
      <c r="D154" s="16" t="s">
        <v>410</v>
      </c>
      <c r="E154" s="16" t="s">
        <v>176</v>
      </c>
      <c r="F154" s="1"/>
      <c r="G154" s="17"/>
      <c r="H154" s="18" t="s">
        <v>713</v>
      </c>
      <c r="I154" s="19" t="s">
        <v>632</v>
      </c>
      <c r="J154" s="19" t="s">
        <v>104</v>
      </c>
    </row>
    <row r="155" spans="1:10" ht="17" thickBot="1">
      <c r="A155" s="1"/>
      <c r="B155" s="17"/>
      <c r="C155" s="18" t="s">
        <v>712</v>
      </c>
      <c r="D155" s="19" t="s">
        <v>416</v>
      </c>
      <c r="E155" s="19" t="s">
        <v>222</v>
      </c>
      <c r="F155" s="1"/>
      <c r="G155" s="9" t="s">
        <v>637</v>
      </c>
      <c r="H155" s="10" t="s">
        <v>758</v>
      </c>
      <c r="I155" s="11"/>
      <c r="J155" s="11"/>
    </row>
    <row r="156" spans="1:10" ht="16.5">
      <c r="A156" s="1"/>
      <c r="B156" s="9" t="s">
        <v>418</v>
      </c>
      <c r="C156" s="10" t="s">
        <v>740</v>
      </c>
      <c r="D156" s="11"/>
      <c r="E156" s="11"/>
      <c r="F156" s="1"/>
      <c r="G156" s="12"/>
      <c r="H156" s="13" t="s">
        <v>710</v>
      </c>
      <c r="I156" s="14" t="s">
        <v>640</v>
      </c>
      <c r="J156" s="14" t="s">
        <v>414</v>
      </c>
    </row>
    <row r="157" spans="1:10" ht="16.5">
      <c r="A157" s="1"/>
      <c r="B157" s="12"/>
      <c r="C157" s="13" t="s">
        <v>710</v>
      </c>
      <c r="D157" s="14" t="s">
        <v>423</v>
      </c>
      <c r="E157" s="14" t="s">
        <v>241</v>
      </c>
      <c r="F157" s="1"/>
      <c r="G157" s="12"/>
      <c r="H157" s="15" t="s">
        <v>711</v>
      </c>
      <c r="I157" s="16" t="s">
        <v>638</v>
      </c>
      <c r="J157" s="16" t="s">
        <v>182</v>
      </c>
    </row>
    <row r="158" spans="1:10" ht="16.5">
      <c r="A158" s="1"/>
      <c r="B158" s="12"/>
      <c r="C158" s="15" t="s">
        <v>711</v>
      </c>
      <c r="D158" s="16" t="s">
        <v>422</v>
      </c>
      <c r="E158" s="16" t="s">
        <v>102</v>
      </c>
      <c r="F158" s="1"/>
      <c r="G158" s="12"/>
      <c r="H158" s="15" t="s">
        <v>712</v>
      </c>
      <c r="I158" s="16" t="s">
        <v>641</v>
      </c>
      <c r="J158" s="16" t="s">
        <v>40</v>
      </c>
    </row>
    <row r="159" spans="1:10" ht="16.5">
      <c r="A159" s="1"/>
      <c r="B159" s="12"/>
      <c r="C159" s="15" t="s">
        <v>712</v>
      </c>
      <c r="D159" s="16" t="s">
        <v>421</v>
      </c>
      <c r="E159" s="16" t="s">
        <v>130</v>
      </c>
      <c r="F159" s="1"/>
      <c r="G159" s="12"/>
      <c r="H159" s="15" t="s">
        <v>712</v>
      </c>
      <c r="I159" s="16" t="s">
        <v>645</v>
      </c>
      <c r="J159" s="16" t="s">
        <v>319</v>
      </c>
    </row>
    <row r="160" spans="1:10" ht="17" thickBot="1">
      <c r="A160" s="1"/>
      <c r="B160" s="17"/>
      <c r="C160" s="18" t="s">
        <v>712</v>
      </c>
      <c r="D160" s="19" t="s">
        <v>424</v>
      </c>
      <c r="E160" s="19" t="s">
        <v>417</v>
      </c>
      <c r="F160" s="1"/>
      <c r="G160" s="12"/>
      <c r="H160" s="15" t="s">
        <v>713</v>
      </c>
      <c r="I160" s="16" t="s">
        <v>644</v>
      </c>
      <c r="J160" s="16" t="s">
        <v>52</v>
      </c>
    </row>
    <row r="161" spans="1:10" ht="16.5">
      <c r="A161" s="1"/>
      <c r="B161" s="5"/>
      <c r="C161" s="5"/>
      <c r="D161" s="5"/>
      <c r="E161" s="5"/>
      <c r="F161" s="1"/>
      <c r="G161" s="12"/>
      <c r="H161" s="15" t="s">
        <v>713</v>
      </c>
      <c r="I161" s="16" t="s">
        <v>639</v>
      </c>
      <c r="J161" s="16" t="s">
        <v>264</v>
      </c>
    </row>
    <row r="162" spans="1:10" ht="16.5">
      <c r="A162" s="1"/>
      <c r="B162" s="5"/>
      <c r="C162" s="5"/>
      <c r="D162" s="5"/>
      <c r="E162" s="5"/>
      <c r="F162" s="1"/>
      <c r="G162" s="12"/>
      <c r="H162" s="15" t="s">
        <v>713</v>
      </c>
      <c r="I162" s="16" t="s">
        <v>642</v>
      </c>
      <c r="J162" s="16" t="s">
        <v>236</v>
      </c>
    </row>
    <row r="163" spans="1:10" ht="17" thickBot="1">
      <c r="A163" s="1"/>
      <c r="B163" s="5"/>
      <c r="C163" s="5"/>
      <c r="D163" s="5"/>
      <c r="E163" s="5"/>
      <c r="F163" s="1"/>
      <c r="G163" s="17"/>
      <c r="H163" s="18" t="s">
        <v>713</v>
      </c>
      <c r="I163" s="19" t="s">
        <v>643</v>
      </c>
      <c r="J163" s="19" t="s">
        <v>45</v>
      </c>
    </row>
    <row r="164" spans="1:10" ht="16.5">
      <c r="A164" s="1"/>
      <c r="B164" s="5"/>
      <c r="C164" s="5"/>
      <c r="D164" s="5"/>
      <c r="E164" s="5"/>
      <c r="F164" s="1"/>
      <c r="G164" s="9" t="s">
        <v>647</v>
      </c>
      <c r="H164" s="10" t="s">
        <v>759</v>
      </c>
      <c r="I164" s="11"/>
      <c r="J164" s="11"/>
    </row>
    <row r="165" spans="1:10" ht="16.5">
      <c r="A165" s="1"/>
      <c r="B165" s="5"/>
      <c r="C165" s="5"/>
      <c r="D165" s="5"/>
      <c r="E165" s="5"/>
      <c r="F165" s="1"/>
      <c r="G165" s="12"/>
      <c r="H165" s="13" t="s">
        <v>710</v>
      </c>
      <c r="I165" s="14" t="s">
        <v>658</v>
      </c>
      <c r="J165" s="14" t="s">
        <v>62</v>
      </c>
    </row>
    <row r="166" spans="1:10" ht="16.5">
      <c r="A166" s="1"/>
      <c r="B166" s="5"/>
      <c r="C166" s="5"/>
      <c r="D166" s="5"/>
      <c r="E166" s="5"/>
      <c r="F166" s="1"/>
      <c r="G166" s="12"/>
      <c r="H166" s="15" t="s">
        <v>711</v>
      </c>
      <c r="I166" s="16" t="s">
        <v>659</v>
      </c>
      <c r="J166" s="16" t="s">
        <v>109</v>
      </c>
    </row>
    <row r="167" spans="1:10" ht="16.5">
      <c r="A167" s="1"/>
      <c r="B167" s="5"/>
      <c r="C167" s="5"/>
      <c r="D167" s="5"/>
      <c r="E167" s="5"/>
      <c r="F167" s="1"/>
      <c r="G167" s="12"/>
      <c r="H167" s="15" t="s">
        <v>712</v>
      </c>
      <c r="I167" s="16" t="s">
        <v>648</v>
      </c>
      <c r="J167" s="16" t="s">
        <v>649</v>
      </c>
    </row>
    <row r="168" spans="1:10" ht="16.5">
      <c r="A168" s="1"/>
      <c r="B168" s="5"/>
      <c r="C168" s="5"/>
      <c r="D168" s="5"/>
      <c r="E168" s="5"/>
      <c r="F168" s="1"/>
      <c r="G168" s="12"/>
      <c r="H168" s="15" t="s">
        <v>712</v>
      </c>
      <c r="I168" s="16" t="s">
        <v>660</v>
      </c>
      <c r="J168" s="16" t="s">
        <v>174</v>
      </c>
    </row>
    <row r="169" spans="1:10" ht="16.5">
      <c r="A169" s="1"/>
      <c r="B169" s="5"/>
      <c r="C169" s="5"/>
      <c r="D169" s="5"/>
      <c r="E169" s="5"/>
      <c r="F169" s="1"/>
      <c r="G169" s="12"/>
      <c r="H169" s="15" t="s">
        <v>713</v>
      </c>
      <c r="I169" s="16" t="s">
        <v>657</v>
      </c>
      <c r="J169" s="16" t="s">
        <v>59</v>
      </c>
    </row>
    <row r="170" spans="1:10" ht="16.5">
      <c r="A170" s="1"/>
      <c r="B170" s="5"/>
      <c r="C170" s="5"/>
      <c r="D170" s="5"/>
      <c r="E170" s="5"/>
      <c r="F170" s="1"/>
      <c r="G170" s="12"/>
      <c r="H170" s="15" t="s">
        <v>713</v>
      </c>
      <c r="I170" s="16" t="s">
        <v>651</v>
      </c>
      <c r="J170" s="16" t="s">
        <v>264</v>
      </c>
    </row>
    <row r="171" spans="1:10" ht="16.5">
      <c r="A171" s="1"/>
      <c r="B171" s="5"/>
      <c r="C171" s="5"/>
      <c r="D171" s="5"/>
      <c r="E171" s="5"/>
      <c r="F171" s="1"/>
      <c r="G171" s="12"/>
      <c r="H171" s="15" t="s">
        <v>713</v>
      </c>
      <c r="I171" s="16" t="s">
        <v>650</v>
      </c>
      <c r="J171" s="16" t="s">
        <v>333</v>
      </c>
    </row>
    <row r="172" spans="1:10" ht="17" thickBot="1">
      <c r="A172" s="1"/>
      <c r="B172" s="5"/>
      <c r="C172" s="5"/>
      <c r="D172" s="5"/>
      <c r="E172" s="5"/>
      <c r="F172" s="1"/>
      <c r="G172" s="17"/>
      <c r="H172" s="18" t="s">
        <v>713</v>
      </c>
      <c r="I172" s="19" t="s">
        <v>653</v>
      </c>
      <c r="J172" s="19" t="s">
        <v>654</v>
      </c>
    </row>
    <row r="173" spans="1:10" ht="16.5">
      <c r="A173" s="1"/>
      <c r="B173" s="5"/>
      <c r="C173" s="5"/>
      <c r="D173" s="5"/>
      <c r="E173" s="5"/>
      <c r="F173" s="1"/>
      <c r="G173" s="9" t="s">
        <v>661</v>
      </c>
      <c r="H173" s="10" t="s">
        <v>760</v>
      </c>
      <c r="I173" s="11"/>
      <c r="J173" s="11"/>
    </row>
    <row r="174" spans="1:10" ht="16.5">
      <c r="A174" s="1"/>
      <c r="B174" s="5"/>
      <c r="C174" s="5"/>
      <c r="D174" s="5"/>
      <c r="E174" s="5"/>
      <c r="F174" s="1"/>
      <c r="G174" s="12"/>
      <c r="H174" s="13" t="s">
        <v>710</v>
      </c>
      <c r="I174" s="14" t="s">
        <v>670</v>
      </c>
      <c r="J174" s="14" t="s">
        <v>174</v>
      </c>
    </row>
    <row r="175" spans="1:10" ht="16.5">
      <c r="A175" s="1"/>
      <c r="B175" s="5"/>
      <c r="C175" s="5"/>
      <c r="D175" s="5"/>
      <c r="E175" s="5"/>
      <c r="F175" s="1"/>
      <c r="G175" s="12"/>
      <c r="H175" s="15" t="s">
        <v>711</v>
      </c>
      <c r="I175" s="16" t="s">
        <v>662</v>
      </c>
      <c r="J175" s="16" t="s">
        <v>33</v>
      </c>
    </row>
    <row r="176" spans="1:10" ht="16.5">
      <c r="A176" s="1"/>
      <c r="B176" s="5"/>
      <c r="C176" s="5"/>
      <c r="D176" s="5"/>
      <c r="E176" s="5"/>
      <c r="F176" s="1"/>
      <c r="G176" s="12"/>
      <c r="H176" s="15" t="s">
        <v>712</v>
      </c>
      <c r="I176" s="16" t="s">
        <v>667</v>
      </c>
      <c r="J176" s="16" t="s">
        <v>136</v>
      </c>
    </row>
    <row r="177" spans="1:10" ht="16.5">
      <c r="A177" s="1"/>
      <c r="F177" s="1"/>
      <c r="G177" s="12"/>
      <c r="H177" s="15" t="s">
        <v>712</v>
      </c>
      <c r="I177" s="16" t="s">
        <v>665</v>
      </c>
      <c r="J177" s="16" t="s">
        <v>134</v>
      </c>
    </row>
    <row r="178" spans="1:10" ht="16.5">
      <c r="A178" s="1"/>
      <c r="F178" s="1"/>
      <c r="G178" s="12"/>
      <c r="H178" s="15" t="s">
        <v>713</v>
      </c>
      <c r="I178" s="16" t="s">
        <v>669</v>
      </c>
      <c r="J178" s="16" t="s">
        <v>62</v>
      </c>
    </row>
    <row r="179" spans="1:10" ht="16.5">
      <c r="A179" s="1"/>
      <c r="F179" s="1"/>
      <c r="G179" s="12"/>
      <c r="H179" s="15" t="s">
        <v>713</v>
      </c>
      <c r="I179" s="16" t="s">
        <v>663</v>
      </c>
      <c r="J179" s="16" t="s">
        <v>93</v>
      </c>
    </row>
    <row r="180" spans="1:10" ht="16.5">
      <c r="A180" s="1"/>
      <c r="F180" s="1"/>
      <c r="G180" s="12"/>
      <c r="H180" s="15" t="s">
        <v>713</v>
      </c>
      <c r="I180" s="16" t="s">
        <v>666</v>
      </c>
      <c r="J180" s="16" t="s">
        <v>656</v>
      </c>
    </row>
    <row r="181" spans="1:10" ht="17" thickBot="1">
      <c r="A181" s="1"/>
      <c r="F181" s="1"/>
      <c r="G181" s="17"/>
      <c r="H181" s="18" t="s">
        <v>713</v>
      </c>
      <c r="I181" s="19" t="s">
        <v>668</v>
      </c>
      <c r="J181" s="19" t="s">
        <v>380</v>
      </c>
    </row>
    <row r="182" spans="1:10" ht="16.5">
      <c r="A182" s="1"/>
      <c r="F182" s="1"/>
      <c r="G182" s="9" t="s">
        <v>671</v>
      </c>
      <c r="H182" s="10" t="s">
        <v>761</v>
      </c>
      <c r="I182" s="11"/>
      <c r="J182" s="11"/>
    </row>
    <row r="183" spans="1:10" ht="16.5">
      <c r="A183" s="1"/>
      <c r="F183" s="1"/>
      <c r="G183" s="12"/>
      <c r="H183" s="13" t="s">
        <v>710</v>
      </c>
      <c r="I183" s="14" t="s">
        <v>679</v>
      </c>
      <c r="J183" s="14" t="s">
        <v>45</v>
      </c>
    </row>
    <row r="184" spans="1:10" ht="16.5">
      <c r="A184" s="1"/>
      <c r="F184" s="1"/>
      <c r="G184" s="12"/>
      <c r="H184" s="15" t="s">
        <v>711</v>
      </c>
      <c r="I184" s="16" t="s">
        <v>673</v>
      </c>
      <c r="J184" s="16" t="s">
        <v>322</v>
      </c>
    </row>
    <row r="185" spans="1:10" ht="16.5">
      <c r="A185" s="1"/>
      <c r="F185" s="1"/>
      <c r="G185" s="12"/>
      <c r="H185" s="15" t="s">
        <v>712</v>
      </c>
      <c r="I185" s="16" t="s">
        <v>676</v>
      </c>
      <c r="J185" s="16" t="s">
        <v>33</v>
      </c>
    </row>
    <row r="186" spans="1:10" ht="16.5">
      <c r="A186" s="1"/>
      <c r="F186" s="1"/>
      <c r="G186" s="12"/>
      <c r="H186" s="15" t="s">
        <v>712</v>
      </c>
      <c r="I186" s="16" t="s">
        <v>682</v>
      </c>
      <c r="J186" s="16" t="s">
        <v>656</v>
      </c>
    </row>
    <row r="187" spans="1:10" ht="16.5">
      <c r="A187" s="1"/>
      <c r="F187" s="1"/>
      <c r="G187" s="12"/>
      <c r="H187" s="15" t="s">
        <v>713</v>
      </c>
      <c r="I187" s="16" t="s">
        <v>674</v>
      </c>
      <c r="J187" s="16" t="s">
        <v>675</v>
      </c>
    </row>
    <row r="188" spans="1:10" ht="16.5">
      <c r="A188" s="1"/>
      <c r="F188" s="1"/>
      <c r="G188" s="12"/>
      <c r="H188" s="15" t="s">
        <v>713</v>
      </c>
      <c r="I188" s="16" t="s">
        <v>672</v>
      </c>
      <c r="J188" s="16" t="s">
        <v>65</v>
      </c>
    </row>
    <row r="189" spans="1:10" ht="16.5">
      <c r="A189" s="1"/>
      <c r="F189" s="1"/>
      <c r="G189" s="12"/>
      <c r="H189" s="15" t="s">
        <v>713</v>
      </c>
      <c r="I189" s="16" t="s">
        <v>678</v>
      </c>
      <c r="J189" s="16" t="s">
        <v>213</v>
      </c>
    </row>
    <row r="190" spans="1:10" ht="17" thickBot="1">
      <c r="A190" s="1"/>
      <c r="F190" s="1"/>
      <c r="G190" s="17"/>
      <c r="H190" s="18" t="s">
        <v>713</v>
      </c>
      <c r="I190" s="19" t="s">
        <v>683</v>
      </c>
      <c r="J190" s="19" t="s">
        <v>136</v>
      </c>
    </row>
    <row r="191" spans="1:10" ht="16.5">
      <c r="A191" s="1"/>
      <c r="F191" s="1"/>
      <c r="G191" s="9" t="s">
        <v>685</v>
      </c>
      <c r="H191" s="10" t="s">
        <v>762</v>
      </c>
      <c r="I191" s="11"/>
      <c r="J191" s="11"/>
    </row>
    <row r="192" spans="1:10" ht="16.5">
      <c r="A192" s="1"/>
      <c r="F192" s="1"/>
      <c r="G192" s="12"/>
      <c r="H192" s="13" t="s">
        <v>710</v>
      </c>
      <c r="I192" s="14" t="s">
        <v>688</v>
      </c>
      <c r="J192" s="14" t="s">
        <v>419</v>
      </c>
    </row>
    <row r="193" spans="1:10" ht="16.5">
      <c r="A193" s="1"/>
      <c r="F193" s="1"/>
      <c r="G193" s="12"/>
      <c r="H193" s="15" t="s">
        <v>711</v>
      </c>
      <c r="I193" s="16" t="s">
        <v>694</v>
      </c>
      <c r="J193" s="16" t="s">
        <v>436</v>
      </c>
    </row>
    <row r="194" spans="1:10" ht="16.5">
      <c r="A194" s="1"/>
      <c r="F194" s="1"/>
      <c r="G194" s="12"/>
      <c r="H194" s="15" t="s">
        <v>712</v>
      </c>
      <c r="I194" s="16" t="s">
        <v>691</v>
      </c>
      <c r="J194" s="16" t="s">
        <v>169</v>
      </c>
    </row>
    <row r="195" spans="1:10" ht="16.5">
      <c r="A195" s="1"/>
      <c r="F195" s="1"/>
      <c r="G195" s="12"/>
      <c r="H195" s="15" t="s">
        <v>712</v>
      </c>
      <c r="I195" s="16" t="s">
        <v>693</v>
      </c>
      <c r="J195" s="16" t="s">
        <v>62</v>
      </c>
    </row>
    <row r="196" spans="1:10" ht="16.5">
      <c r="A196" s="1"/>
      <c r="F196" s="1"/>
      <c r="G196" s="12"/>
      <c r="H196" s="15" t="s">
        <v>713</v>
      </c>
      <c r="I196" s="16" t="s">
        <v>687</v>
      </c>
      <c r="J196" s="16" t="s">
        <v>115</v>
      </c>
    </row>
    <row r="197" spans="1:10" ht="16.5">
      <c r="A197" s="1"/>
      <c r="F197" s="1"/>
      <c r="G197" s="12"/>
      <c r="H197" s="15" t="s">
        <v>713</v>
      </c>
      <c r="I197" s="16" t="s">
        <v>690</v>
      </c>
      <c r="J197" s="16" t="s">
        <v>43</v>
      </c>
    </row>
    <row r="198" spans="1:10" ht="16.5">
      <c r="A198" s="1"/>
      <c r="F198" s="1"/>
      <c r="G198" s="12"/>
      <c r="H198" s="15" t="s">
        <v>713</v>
      </c>
      <c r="I198" s="16" t="s">
        <v>686</v>
      </c>
      <c r="J198" s="16" t="s">
        <v>322</v>
      </c>
    </row>
    <row r="199" spans="1:10" ht="17" thickBot="1">
      <c r="A199" s="1"/>
      <c r="F199" s="1"/>
      <c r="G199" s="17"/>
      <c r="H199" s="18" t="s">
        <v>713</v>
      </c>
      <c r="I199" s="19" t="s">
        <v>689</v>
      </c>
      <c r="J199" s="19" t="s">
        <v>246</v>
      </c>
    </row>
    <row r="200" spans="1:10" ht="16.5">
      <c r="A200" s="1"/>
      <c r="F200" s="1"/>
      <c r="G200" s="9" t="s">
        <v>695</v>
      </c>
      <c r="H200" s="10" t="s">
        <v>763</v>
      </c>
      <c r="I200" s="11"/>
      <c r="J200" s="11"/>
    </row>
    <row r="201" spans="1:10" ht="16.5">
      <c r="A201" s="1"/>
      <c r="F201" s="1"/>
      <c r="G201" s="12"/>
      <c r="H201" s="13" t="s">
        <v>710</v>
      </c>
      <c r="I201" s="14" t="s">
        <v>704</v>
      </c>
      <c r="J201" s="14" t="s">
        <v>59</v>
      </c>
    </row>
    <row r="202" spans="1:10" ht="16.5">
      <c r="A202" s="1"/>
      <c r="F202" s="1"/>
      <c r="G202" s="12"/>
      <c r="H202" s="15" t="s">
        <v>711</v>
      </c>
      <c r="I202" s="16" t="s">
        <v>703</v>
      </c>
      <c r="J202" s="16" t="s">
        <v>256</v>
      </c>
    </row>
    <row r="203" spans="1:10" ht="16.5">
      <c r="A203" s="1"/>
      <c r="F203" s="1"/>
      <c r="G203" s="12"/>
      <c r="H203" s="15" t="s">
        <v>712</v>
      </c>
      <c r="I203" s="16" t="s">
        <v>706</v>
      </c>
      <c r="J203" s="16" t="s">
        <v>436</v>
      </c>
    </row>
    <row r="204" spans="1:10" ht="16.5">
      <c r="A204" s="1"/>
      <c r="F204" s="1"/>
      <c r="G204" s="12"/>
      <c r="H204" s="15" t="s">
        <v>712</v>
      </c>
      <c r="I204" s="16" t="s">
        <v>701</v>
      </c>
      <c r="J204" s="16" t="s">
        <v>45</v>
      </c>
    </row>
    <row r="205" spans="1:10" ht="16.5">
      <c r="A205" s="1"/>
      <c r="F205" s="1"/>
      <c r="G205" s="12"/>
      <c r="H205" s="15" t="s">
        <v>713</v>
      </c>
      <c r="I205" s="16" t="s">
        <v>700</v>
      </c>
      <c r="J205" s="16" t="s">
        <v>213</v>
      </c>
    </row>
    <row r="206" spans="1:10" ht="16.5">
      <c r="A206" s="1"/>
      <c r="F206" s="1"/>
      <c r="G206" s="12"/>
      <c r="H206" s="15" t="s">
        <v>713</v>
      </c>
      <c r="I206" s="16" t="s">
        <v>705</v>
      </c>
      <c r="J206" s="16" t="s">
        <v>692</v>
      </c>
    </row>
    <row r="207" spans="1:10" ht="16.5">
      <c r="A207" s="1"/>
      <c r="F207" s="1"/>
      <c r="G207" s="12"/>
      <c r="H207" s="15" t="s">
        <v>713</v>
      </c>
      <c r="I207" s="16" t="s">
        <v>699</v>
      </c>
      <c r="J207" s="16" t="s">
        <v>35</v>
      </c>
    </row>
    <row r="208" spans="1:10" ht="17" thickBot="1">
      <c r="A208" s="1"/>
      <c r="F208" s="1"/>
      <c r="G208" s="17"/>
      <c r="H208" s="18" t="s">
        <v>713</v>
      </c>
      <c r="I208" s="19" t="s">
        <v>696</v>
      </c>
      <c r="J208" s="19" t="s">
        <v>243</v>
      </c>
    </row>
    <row r="209" spans="1:9" ht="12.5">
      <c r="A209" s="1"/>
      <c r="F209" s="1"/>
      <c r="G209" s="5"/>
      <c r="H209" s="5"/>
      <c r="I209" s="5"/>
    </row>
    <row r="210" spans="1:9" ht="12.5">
      <c r="A210" s="1"/>
      <c r="F210" s="1"/>
      <c r="G210" s="5"/>
      <c r="H210" s="5"/>
      <c r="I210" s="5"/>
    </row>
    <row r="211" spans="1:9" ht="12.5">
      <c r="A211" s="1"/>
      <c r="F211" s="1"/>
      <c r="G211" s="5"/>
      <c r="H211" s="5"/>
      <c r="I211" s="5"/>
    </row>
    <row r="212" spans="1:9" ht="12.5">
      <c r="A212" s="1"/>
      <c r="F212" s="1"/>
      <c r="G212" s="5"/>
      <c r="H212" s="5"/>
      <c r="I212" s="5"/>
    </row>
    <row r="213" spans="1:9" ht="12.5">
      <c r="A213" s="1"/>
      <c r="F213" s="1"/>
      <c r="G213" s="5"/>
      <c r="H213" s="5"/>
      <c r="I213" s="5"/>
    </row>
    <row r="214" spans="1:9" ht="12.5">
      <c r="A214" s="1"/>
      <c r="F214" s="1"/>
      <c r="G214" s="5"/>
      <c r="H214" s="5"/>
      <c r="I214" s="5"/>
    </row>
    <row r="215" spans="1:9" ht="12.5">
      <c r="A215" s="1"/>
      <c r="F215" s="1"/>
      <c r="G215" s="5"/>
      <c r="H215" s="5"/>
      <c r="I215" s="5"/>
    </row>
    <row r="216" spans="1:9" ht="12.5">
      <c r="A216" s="1"/>
      <c r="F216" s="1"/>
      <c r="G216" s="5"/>
      <c r="H216" s="5"/>
      <c r="I216" s="5"/>
    </row>
    <row r="217" spans="1:9" ht="12.5">
      <c r="A217" s="1"/>
      <c r="F217" s="1"/>
      <c r="G217" s="5"/>
      <c r="H217" s="5"/>
      <c r="I217" s="5"/>
    </row>
    <row r="218" spans="1:9" ht="12.5">
      <c r="A218" s="1"/>
      <c r="F218" s="1"/>
      <c r="G218" s="5"/>
      <c r="H218" s="5"/>
      <c r="I218" s="5"/>
    </row>
    <row r="219" spans="1:9" ht="12.5">
      <c r="A219" s="1"/>
      <c r="F219" s="1"/>
      <c r="G219" s="5"/>
      <c r="H219" s="5"/>
      <c r="I219" s="5"/>
    </row>
    <row r="220" spans="1:9" ht="12.5">
      <c r="A220" s="1"/>
      <c r="F220" s="1"/>
      <c r="G220" s="5"/>
      <c r="H220" s="5"/>
      <c r="I220" s="5"/>
    </row>
    <row r="221" spans="1:9" ht="12.5">
      <c r="A221" s="1"/>
      <c r="F221" s="1"/>
      <c r="G221" s="5"/>
      <c r="H221" s="5"/>
      <c r="I221" s="5"/>
    </row>
    <row r="222" spans="1:9" ht="12.5">
      <c r="A222" s="1"/>
      <c r="F222" s="1"/>
      <c r="G222" s="5"/>
      <c r="H222" s="5"/>
      <c r="I222" s="5"/>
    </row>
    <row r="223" spans="1:9" ht="12.5">
      <c r="A223" s="1"/>
      <c r="F223" s="1"/>
    </row>
    <row r="224" spans="1:9" ht="12.5">
      <c r="A224" s="1"/>
      <c r="F224" s="1"/>
    </row>
    <row r="225" spans="1:6" ht="12.5">
      <c r="A225" s="1"/>
      <c r="F225" s="1"/>
    </row>
    <row r="226" spans="1:6" ht="12.5">
      <c r="A226" s="1"/>
      <c r="F226" s="1"/>
    </row>
    <row r="227" spans="1:6" ht="12.5">
      <c r="A227" s="1"/>
      <c r="F227" s="1"/>
    </row>
    <row r="228" spans="1:6" ht="12.5">
      <c r="A228" s="1"/>
      <c r="F228" s="1"/>
    </row>
    <row r="229" spans="1:6" ht="12.5">
      <c r="A229" s="1"/>
      <c r="F229" s="1"/>
    </row>
    <row r="230" spans="1:6" ht="12.5">
      <c r="A230" s="1"/>
      <c r="F230" s="1"/>
    </row>
    <row r="231" spans="1:6" ht="12.5">
      <c r="A231" s="1"/>
      <c r="F231" s="1"/>
    </row>
    <row r="232" spans="1:6" ht="12.5">
      <c r="A232" s="1"/>
      <c r="F232" s="1"/>
    </row>
    <row r="233" spans="1:6" ht="12.5">
      <c r="A233" s="1"/>
      <c r="F233" s="1"/>
    </row>
    <row r="234" spans="1:6" ht="12.5">
      <c r="A234" s="1"/>
      <c r="F234" s="1"/>
    </row>
    <row r="235" spans="1:6" ht="12.5">
      <c r="A235" s="1"/>
      <c r="F235" s="1"/>
    </row>
    <row r="236" spans="1:6" ht="12.5">
      <c r="A236" s="1"/>
      <c r="F236" s="1"/>
    </row>
    <row r="237" spans="1:6" ht="12.5">
      <c r="A237" s="1"/>
      <c r="F237" s="1"/>
    </row>
    <row r="238" spans="1:6" ht="12.5">
      <c r="A238" s="1"/>
      <c r="F238" s="1"/>
    </row>
    <row r="239" spans="1:6" ht="12.5">
      <c r="A239" s="1"/>
      <c r="F239" s="1"/>
    </row>
    <row r="240" spans="1:6" ht="12.5">
      <c r="A240" s="1"/>
      <c r="F240" s="1"/>
    </row>
    <row r="241" spans="1:6" ht="12.5">
      <c r="A241" s="1"/>
      <c r="F241" s="1"/>
    </row>
    <row r="242" spans="1:6" ht="12.5">
      <c r="A242" s="1"/>
      <c r="F242" s="1"/>
    </row>
    <row r="243" spans="1:6" ht="12.5">
      <c r="A243" s="1"/>
      <c r="F243" s="1"/>
    </row>
    <row r="244" spans="1:6" ht="12.5">
      <c r="A244" s="1"/>
      <c r="F244" s="1"/>
    </row>
    <row r="245" spans="1:6" ht="12.5">
      <c r="A245" s="1"/>
      <c r="F245" s="1"/>
    </row>
    <row r="246" spans="1:6" ht="12.5">
      <c r="A246" s="1"/>
      <c r="F246" s="1"/>
    </row>
    <row r="247" spans="1:6" ht="12.5">
      <c r="A247" s="1"/>
      <c r="F247" s="1"/>
    </row>
    <row r="248" spans="1:6" ht="12.5">
      <c r="A248" s="1"/>
      <c r="F248" s="1"/>
    </row>
    <row r="249" spans="1:6" ht="12.5">
      <c r="A249" s="1"/>
      <c r="F249" s="1"/>
    </row>
    <row r="250" spans="1:6" ht="12.5">
      <c r="A250" s="1"/>
      <c r="F250" s="1"/>
    </row>
    <row r="251" spans="1:6" ht="12.5">
      <c r="A251" s="1"/>
      <c r="F251" s="1"/>
    </row>
    <row r="252" spans="1:6" ht="12.5">
      <c r="A252" s="1"/>
      <c r="F252" s="1"/>
    </row>
    <row r="253" spans="1:6" ht="12.5">
      <c r="A253" s="1"/>
      <c r="F253" s="1"/>
    </row>
    <row r="254" spans="1:6" ht="12.5">
      <c r="A254" s="1"/>
      <c r="F254" s="1"/>
    </row>
    <row r="255" spans="1:6" ht="12.5">
      <c r="A255" s="1"/>
      <c r="F255" s="1"/>
    </row>
    <row r="256" spans="1:6" ht="12.5">
      <c r="A256" s="1"/>
      <c r="F256" s="1"/>
    </row>
    <row r="257" spans="1:6" ht="12.5">
      <c r="A257" s="1"/>
      <c r="F257" s="1"/>
    </row>
    <row r="258" spans="1:6" ht="12.5">
      <c r="A258" s="1"/>
      <c r="F258" s="1"/>
    </row>
    <row r="259" spans="1:6" ht="12.5">
      <c r="A259" s="1"/>
      <c r="F259" s="1"/>
    </row>
    <row r="260" spans="1:6" ht="12.5">
      <c r="A260" s="1"/>
      <c r="F260" s="1"/>
    </row>
    <row r="261" spans="1:6" ht="12.5">
      <c r="A261" s="1"/>
      <c r="F261" s="1"/>
    </row>
    <row r="262" spans="1:6" ht="12.5">
      <c r="A262" s="1"/>
      <c r="F262" s="1"/>
    </row>
    <row r="263" spans="1:6" ht="12.5">
      <c r="A263" s="1"/>
      <c r="F263" s="1"/>
    </row>
    <row r="264" spans="1:6" ht="12.5">
      <c r="A264" s="1"/>
      <c r="F264" s="1"/>
    </row>
    <row r="265" spans="1:6" ht="12.5">
      <c r="A265" s="1"/>
      <c r="F265" s="1"/>
    </row>
    <row r="266" spans="1:6" ht="12.5">
      <c r="A266" s="1"/>
      <c r="F266" s="1"/>
    </row>
    <row r="267" spans="1:6" ht="12.5">
      <c r="A267" s="1"/>
      <c r="F267" s="1"/>
    </row>
    <row r="268" spans="1:6" ht="12.5">
      <c r="A268" s="1"/>
      <c r="F268" s="1"/>
    </row>
    <row r="269" spans="1:6" ht="12.5">
      <c r="A269" s="1"/>
      <c r="F269" s="1"/>
    </row>
    <row r="270" spans="1:6" ht="12.5">
      <c r="A270" s="1"/>
      <c r="F270" s="1"/>
    </row>
    <row r="271" spans="1:6" ht="12.5">
      <c r="A271" s="1"/>
      <c r="F271" s="1"/>
    </row>
    <row r="272" spans="1:6" ht="12.5">
      <c r="A272" s="1"/>
      <c r="F272" s="1"/>
    </row>
    <row r="273" spans="1:6" ht="12.5">
      <c r="A273" s="1"/>
      <c r="F273" s="1"/>
    </row>
    <row r="274" spans="1:6" ht="12.5">
      <c r="A274" s="1"/>
      <c r="F274" s="1"/>
    </row>
    <row r="275" spans="1:6" ht="12.5">
      <c r="A275" s="1"/>
      <c r="F275" s="1"/>
    </row>
    <row r="276" spans="1:6" ht="12.5">
      <c r="A276" s="1"/>
      <c r="F276" s="1"/>
    </row>
    <row r="277" spans="1:6" ht="12.5">
      <c r="A277" s="1"/>
      <c r="F277" s="1"/>
    </row>
    <row r="278" spans="1:6" ht="12.5">
      <c r="A278" s="1"/>
      <c r="F278" s="1"/>
    </row>
    <row r="279" spans="1:6" ht="12.5">
      <c r="A279" s="1"/>
      <c r="F279" s="1"/>
    </row>
    <row r="280" spans="1:6" ht="12.5">
      <c r="A280" s="1"/>
      <c r="F280" s="1"/>
    </row>
    <row r="281" spans="1:6" ht="12.5">
      <c r="A281" s="1"/>
      <c r="F281" s="1"/>
    </row>
    <row r="282" spans="1:6" ht="12.5">
      <c r="A282" s="1"/>
      <c r="F282" s="1"/>
    </row>
    <row r="283" spans="1:6" ht="12.5">
      <c r="A283" s="1"/>
      <c r="F283" s="1"/>
    </row>
    <row r="284" spans="1:6" ht="12.5">
      <c r="A284" s="1"/>
      <c r="F284" s="1"/>
    </row>
    <row r="285" spans="1:6" ht="12.5">
      <c r="A285" s="1"/>
      <c r="F285" s="1"/>
    </row>
    <row r="286" spans="1:6" ht="12.5">
      <c r="A286" s="1"/>
      <c r="F286" s="1"/>
    </row>
    <row r="287" spans="1:6" ht="12.5">
      <c r="A287" s="1"/>
      <c r="F287" s="1"/>
    </row>
    <row r="288" spans="1:6" ht="12.5">
      <c r="A288" s="1"/>
      <c r="F288" s="1"/>
    </row>
    <row r="289" spans="1:6" ht="12.5">
      <c r="A289" s="1"/>
      <c r="F289" s="1"/>
    </row>
    <row r="290" spans="1:6" ht="12.5">
      <c r="A290" s="1"/>
      <c r="F290" s="1"/>
    </row>
    <row r="291" spans="1:6" ht="12.5">
      <c r="A291" s="1"/>
      <c r="F291" s="1"/>
    </row>
  </sheetData>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9BF7A-AC43-4C40-8410-204C0CDF646D}">
  <sheetPr>
    <outlinePr summaryBelow="0" summaryRight="0"/>
  </sheetPr>
  <dimension ref="B1:H28"/>
  <sheetViews>
    <sheetView workbookViewId="0"/>
  </sheetViews>
  <sheetFormatPr defaultColWidth="12.6328125" defaultRowHeight="15.75" customHeight="1"/>
  <cols>
    <col min="1" max="1" width="2.36328125" style="77" customWidth="1"/>
    <col min="2" max="2" width="27.36328125" style="77" customWidth="1"/>
    <col min="3" max="8" width="22" style="77" customWidth="1"/>
    <col min="9" max="9" width="9" style="77" customWidth="1"/>
    <col min="10" max="16384" width="12.6328125" style="77"/>
  </cols>
  <sheetData>
    <row r="1" spans="2:8" ht="13">
      <c r="B1" s="82" t="s">
        <v>831</v>
      </c>
      <c r="C1" s="82" t="s">
        <v>830</v>
      </c>
      <c r="D1" s="82" t="s">
        <v>829</v>
      </c>
      <c r="E1" s="82" t="s">
        <v>828</v>
      </c>
      <c r="F1" s="82" t="s">
        <v>827</v>
      </c>
      <c r="G1" s="82" t="s">
        <v>826</v>
      </c>
      <c r="H1" s="82" t="s">
        <v>825</v>
      </c>
    </row>
    <row r="2" spans="2:8" ht="15.75" customHeight="1">
      <c r="B2" s="81" t="s">
        <v>824</v>
      </c>
      <c r="C2" s="78"/>
      <c r="D2" s="78"/>
      <c r="E2" s="78"/>
      <c r="F2" s="78"/>
      <c r="G2" s="78"/>
      <c r="H2" s="78"/>
    </row>
    <row r="3" spans="2:8" ht="15.75" customHeight="1">
      <c r="B3" s="79" t="s">
        <v>821</v>
      </c>
      <c r="C3" s="78" t="s">
        <v>817</v>
      </c>
      <c r="D3" s="78" t="s">
        <v>807</v>
      </c>
      <c r="E3" s="78" t="s">
        <v>817</v>
      </c>
      <c r="F3" s="78" t="s">
        <v>820</v>
      </c>
      <c r="G3" s="78" t="s">
        <v>819</v>
      </c>
      <c r="H3" s="78" t="s">
        <v>817</v>
      </c>
    </row>
    <row r="4" spans="2:8" ht="15.75" customHeight="1">
      <c r="B4" s="79" t="s">
        <v>818</v>
      </c>
      <c r="C4" s="78" t="s">
        <v>819</v>
      </c>
      <c r="D4" s="78" t="s">
        <v>798</v>
      </c>
      <c r="E4" s="78" t="s">
        <v>819</v>
      </c>
      <c r="F4" s="78" t="s">
        <v>798</v>
      </c>
      <c r="G4" s="78"/>
      <c r="H4" s="78"/>
    </row>
    <row r="5" spans="2:8" ht="15.75" customHeight="1">
      <c r="B5" s="79" t="s">
        <v>815</v>
      </c>
      <c r="C5" s="78" t="s">
        <v>783</v>
      </c>
      <c r="D5" s="78" t="s">
        <v>788</v>
      </c>
      <c r="E5" s="78" t="s">
        <v>783</v>
      </c>
      <c r="F5" s="78"/>
      <c r="G5" s="78"/>
      <c r="H5" s="78"/>
    </row>
    <row r="6" spans="2:8" ht="15.75" customHeight="1">
      <c r="B6" s="79" t="s">
        <v>812</v>
      </c>
      <c r="C6" s="78" t="s">
        <v>786</v>
      </c>
      <c r="D6" s="78" t="s">
        <v>813</v>
      </c>
      <c r="E6" s="78" t="s">
        <v>786</v>
      </c>
      <c r="F6" s="78"/>
      <c r="G6" s="78"/>
      <c r="H6" s="78"/>
    </row>
    <row r="7" spans="2:8" ht="15.75" customHeight="1">
      <c r="B7" s="79" t="s">
        <v>806</v>
      </c>
      <c r="C7" s="78" t="s">
        <v>799</v>
      </c>
      <c r="D7" s="78" t="s">
        <v>804</v>
      </c>
      <c r="E7" s="78" t="s">
        <v>799</v>
      </c>
      <c r="F7" s="78"/>
      <c r="G7" s="78"/>
      <c r="H7" s="78"/>
    </row>
    <row r="8" spans="2:8" ht="15.75" customHeight="1">
      <c r="B8" s="79" t="s">
        <v>809</v>
      </c>
      <c r="C8" s="78" t="s">
        <v>820</v>
      </c>
      <c r="D8" s="78" t="s">
        <v>823</v>
      </c>
      <c r="E8" s="78" t="s">
        <v>820</v>
      </c>
      <c r="F8" s="78"/>
      <c r="G8" s="78"/>
      <c r="H8" s="78"/>
    </row>
    <row r="9" spans="2:8" ht="15.75" customHeight="1">
      <c r="B9" s="79"/>
      <c r="C9" s="78"/>
      <c r="D9" s="78"/>
      <c r="E9" s="78"/>
      <c r="F9" s="78"/>
      <c r="G9" s="78"/>
      <c r="H9" s="78"/>
    </row>
    <row r="11" spans="2:8" ht="15.75" customHeight="1">
      <c r="B11" s="80" t="s">
        <v>822</v>
      </c>
    </row>
    <row r="12" spans="2:8" ht="15.75" customHeight="1">
      <c r="B12" s="79" t="s">
        <v>821</v>
      </c>
      <c r="C12" s="78" t="s">
        <v>820</v>
      </c>
      <c r="D12" s="78" t="s">
        <v>819</v>
      </c>
      <c r="E12" s="78" t="s">
        <v>820</v>
      </c>
      <c r="F12" s="78" t="s">
        <v>819</v>
      </c>
      <c r="G12" s="78" t="s">
        <v>817</v>
      </c>
      <c r="H12" s="78" t="s">
        <v>819</v>
      </c>
    </row>
    <row r="13" spans="2:8" ht="15.75" customHeight="1">
      <c r="B13" s="79" t="s">
        <v>818</v>
      </c>
      <c r="C13" s="78" t="s">
        <v>817</v>
      </c>
      <c r="D13" s="78" t="s">
        <v>816</v>
      </c>
      <c r="E13" s="78" t="s">
        <v>817</v>
      </c>
      <c r="F13" s="78" t="s">
        <v>816</v>
      </c>
      <c r="G13" s="78"/>
      <c r="H13" s="78"/>
    </row>
    <row r="14" spans="2:8" ht="15.75" customHeight="1">
      <c r="B14" s="79" t="s">
        <v>815</v>
      </c>
      <c r="C14" s="78" t="s">
        <v>813</v>
      </c>
      <c r="D14" s="78" t="s">
        <v>814</v>
      </c>
      <c r="E14" s="78" t="s">
        <v>813</v>
      </c>
      <c r="F14" s="78" t="s">
        <v>814</v>
      </c>
      <c r="G14" s="78" t="s">
        <v>813</v>
      </c>
      <c r="H14" s="78"/>
    </row>
    <row r="15" spans="2:8" ht="15.75" customHeight="1">
      <c r="B15" s="79" t="s">
        <v>812</v>
      </c>
      <c r="C15" s="78" t="s">
        <v>810</v>
      </c>
      <c r="D15" s="78" t="s">
        <v>811</v>
      </c>
      <c r="E15" s="78" t="s">
        <v>810</v>
      </c>
      <c r="F15" s="78" t="s">
        <v>811</v>
      </c>
      <c r="G15" s="78" t="s">
        <v>810</v>
      </c>
      <c r="H15" s="78"/>
    </row>
    <row r="16" spans="2:8" ht="15.75" customHeight="1">
      <c r="B16" s="79" t="s">
        <v>809</v>
      </c>
      <c r="C16" s="78" t="s">
        <v>808</v>
      </c>
      <c r="D16" s="78" t="s">
        <v>807</v>
      </c>
      <c r="E16" s="78" t="s">
        <v>808</v>
      </c>
      <c r="F16" s="78" t="s">
        <v>807</v>
      </c>
      <c r="G16" s="78" t="s">
        <v>808</v>
      </c>
      <c r="H16" s="78" t="s">
        <v>807</v>
      </c>
    </row>
    <row r="17" spans="2:8" ht="15.75" customHeight="1">
      <c r="B17" s="79" t="s">
        <v>806</v>
      </c>
      <c r="C17" s="78" t="s">
        <v>804</v>
      </c>
      <c r="D17" s="78" t="s">
        <v>805</v>
      </c>
      <c r="E17" s="78" t="s">
        <v>804</v>
      </c>
      <c r="F17" s="78" t="s">
        <v>805</v>
      </c>
      <c r="G17" s="78" t="s">
        <v>804</v>
      </c>
      <c r="H17" s="78"/>
    </row>
    <row r="18" spans="2:8" ht="15.75" customHeight="1">
      <c r="B18" s="79" t="s">
        <v>803</v>
      </c>
      <c r="C18" s="78" t="s">
        <v>802</v>
      </c>
      <c r="D18" s="78" t="s">
        <v>801</v>
      </c>
      <c r="E18" s="78" t="s">
        <v>802</v>
      </c>
      <c r="F18" s="78" t="s">
        <v>801</v>
      </c>
      <c r="G18" s="78" t="s">
        <v>802</v>
      </c>
      <c r="H18" s="78" t="s">
        <v>801</v>
      </c>
    </row>
    <row r="19" spans="2:8" ht="15.75" customHeight="1">
      <c r="B19" s="79" t="s">
        <v>800</v>
      </c>
      <c r="C19" s="78" t="s">
        <v>799</v>
      </c>
      <c r="D19" s="78" t="s">
        <v>798</v>
      </c>
      <c r="E19" s="78" t="s">
        <v>799</v>
      </c>
      <c r="F19" s="78" t="s">
        <v>798</v>
      </c>
      <c r="G19" s="78"/>
      <c r="H19" s="78"/>
    </row>
    <row r="20" spans="2:8" ht="15.75" customHeight="1">
      <c r="B20" s="79" t="s">
        <v>797</v>
      </c>
      <c r="C20" s="78" t="s">
        <v>795</v>
      </c>
      <c r="D20" s="78" t="s">
        <v>796</v>
      </c>
      <c r="E20" s="78" t="s">
        <v>795</v>
      </c>
      <c r="F20" s="78" t="s">
        <v>796</v>
      </c>
      <c r="G20" s="78" t="s">
        <v>795</v>
      </c>
      <c r="H20" s="78"/>
    </row>
    <row r="21" spans="2:8" ht="15.75" customHeight="1">
      <c r="B21" s="79" t="s">
        <v>794</v>
      </c>
      <c r="C21" s="78" t="s">
        <v>793</v>
      </c>
      <c r="D21" s="78" t="s">
        <v>792</v>
      </c>
      <c r="E21" s="78" t="s">
        <v>793</v>
      </c>
      <c r="F21" s="78" t="s">
        <v>792</v>
      </c>
      <c r="G21" s="78" t="s">
        <v>793</v>
      </c>
      <c r="H21" s="78" t="s">
        <v>792</v>
      </c>
    </row>
    <row r="22" spans="2:8" ht="15.75" customHeight="1">
      <c r="B22" s="78" t="s">
        <v>791</v>
      </c>
      <c r="C22" s="78" t="s">
        <v>786</v>
      </c>
      <c r="D22" s="78" t="s">
        <v>790</v>
      </c>
      <c r="E22" s="78" t="s">
        <v>786</v>
      </c>
      <c r="F22" s="78" t="s">
        <v>790</v>
      </c>
      <c r="G22" s="78" t="s">
        <v>786</v>
      </c>
      <c r="H22" s="78"/>
    </row>
    <row r="23" spans="2:8" ht="15.75" customHeight="1">
      <c r="B23" s="79" t="s">
        <v>789</v>
      </c>
      <c r="C23" s="78" t="s">
        <v>787</v>
      </c>
      <c r="D23" s="78" t="s">
        <v>788</v>
      </c>
      <c r="E23" s="78" t="s">
        <v>787</v>
      </c>
      <c r="F23" s="78" t="s">
        <v>788</v>
      </c>
      <c r="G23" s="78" t="s">
        <v>787</v>
      </c>
      <c r="H23" s="78" t="s">
        <v>786</v>
      </c>
    </row>
    <row r="24" spans="2:8" ht="15.75" customHeight="1">
      <c r="B24" s="79" t="s">
        <v>785</v>
      </c>
      <c r="C24" s="78" t="s">
        <v>783</v>
      </c>
      <c r="D24" s="78" t="s">
        <v>784</v>
      </c>
      <c r="E24" s="78" t="s">
        <v>783</v>
      </c>
      <c r="F24" s="78" t="s">
        <v>784</v>
      </c>
      <c r="G24" s="78" t="s">
        <v>783</v>
      </c>
      <c r="H24" s="78"/>
    </row>
    <row r="25" spans="2:8" ht="15.75" customHeight="1">
      <c r="C25" s="78"/>
      <c r="D25" s="78"/>
      <c r="E25" s="78"/>
      <c r="F25" s="78"/>
      <c r="G25" s="78"/>
      <c r="H25" s="78"/>
    </row>
    <row r="26" spans="2:8" ht="12.5">
      <c r="C26" s="78"/>
      <c r="D26" s="78"/>
      <c r="E26" s="78"/>
      <c r="F26" s="78"/>
      <c r="G26" s="78"/>
      <c r="H26" s="78"/>
    </row>
    <row r="27" spans="2:8" ht="12.5">
      <c r="C27" s="78"/>
      <c r="D27" s="78"/>
      <c r="E27" s="78"/>
      <c r="F27" s="78"/>
      <c r="G27" s="78"/>
      <c r="H27" s="78"/>
    </row>
    <row r="28" spans="2:8" ht="12.5">
      <c r="B28" s="79"/>
      <c r="C28" s="78"/>
      <c r="D28" s="78"/>
      <c r="E28" s="78"/>
      <c r="F28" s="78"/>
      <c r="G28" s="78"/>
      <c r="H28" s="78"/>
    </row>
  </sheetData>
  <phoneticPr fontId="18"/>
  <dataValidations count="1">
    <dataValidation type="list" allowBlank="1" showErrorMessage="1" sqref="C2:H9 C12:H28" xr:uid="{00000000-0002-0000-0000-000000000000}">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FF"/>
    <outlinePr summaryBelow="0" summaryRight="0"/>
  </sheetPr>
  <dimension ref="B1:AM843"/>
  <sheetViews>
    <sheetView workbookViewId="0"/>
  </sheetViews>
  <sheetFormatPr defaultColWidth="12.7265625" defaultRowHeight="15.75" customHeight="1" outlineLevelCol="1"/>
  <cols>
    <col min="1" max="1" width="1.81640625" customWidth="1"/>
    <col min="2" max="3" width="24.26953125" customWidth="1" outlineLevel="1"/>
    <col min="4" max="4" width="10.26953125" customWidth="1" outlineLevel="1"/>
    <col min="5" max="5" width="10" customWidth="1" outlineLevel="1"/>
    <col min="6" max="6" width="6.7265625" customWidth="1" outlineLevel="1"/>
    <col min="7" max="7" width="10" customWidth="1" outlineLevel="1"/>
    <col min="8" max="8" width="6.7265625" customWidth="1" outlineLevel="1"/>
    <col min="9" max="9" width="10" customWidth="1" outlineLevel="1"/>
    <col min="10" max="10" width="6.7265625" customWidth="1" outlineLevel="1"/>
    <col min="11" max="11" width="10" customWidth="1" outlineLevel="1"/>
    <col min="12" max="12" width="6.7265625" customWidth="1" outlineLevel="1"/>
    <col min="13" max="13" width="10" customWidth="1" outlineLevel="1"/>
    <col min="14" max="14" width="6.7265625" customWidth="1" outlineLevel="1"/>
    <col min="15" max="15" width="8.7265625" customWidth="1" outlineLevel="1"/>
    <col min="16" max="16" width="8" customWidth="1" outlineLevel="1"/>
    <col min="17" max="17" width="11.26953125" customWidth="1" outlineLevel="1"/>
    <col min="18" max="18" width="30.26953125" customWidth="1" outlineLevel="1"/>
    <col min="19" max="19" width="2.453125" customWidth="1" outlineLevel="1"/>
    <col min="20" max="20" width="2.453125" customWidth="1"/>
    <col min="21" max="22" width="24.26953125" customWidth="1"/>
    <col min="23" max="23" width="10.26953125" customWidth="1"/>
    <col min="24" max="24" width="10" customWidth="1"/>
    <col min="25" max="25" width="6.7265625" customWidth="1"/>
    <col min="26" max="26" width="10" customWidth="1"/>
    <col min="27" max="27" width="6.7265625" customWidth="1"/>
    <col min="28" max="28" width="10" customWidth="1"/>
    <col min="29" max="29" width="6.7265625" customWidth="1"/>
    <col min="30" max="30" width="10" customWidth="1"/>
    <col min="31" max="31" width="6.7265625" customWidth="1"/>
    <col min="32" max="32" width="10" customWidth="1"/>
    <col min="33" max="33" width="6.7265625" customWidth="1"/>
    <col min="34" max="34" width="8.7265625" customWidth="1"/>
    <col min="35" max="35" width="8" customWidth="1"/>
    <col min="36" max="36" width="11.26953125" customWidth="1"/>
    <col min="37" max="37" width="30.26953125" customWidth="1"/>
    <col min="38" max="38" width="4.81640625" customWidth="1"/>
    <col min="39" max="39" width="22.81640625" customWidth="1"/>
  </cols>
  <sheetData>
    <row r="1" spans="2:39" ht="6.75" customHeight="1">
      <c r="B1" s="4"/>
      <c r="C1" s="4"/>
      <c r="D1" s="21"/>
      <c r="E1" s="21"/>
      <c r="F1" s="22"/>
      <c r="G1" s="21"/>
      <c r="H1" s="22"/>
      <c r="I1" s="21"/>
      <c r="J1" s="21"/>
      <c r="K1" s="21"/>
      <c r="L1" s="21"/>
      <c r="M1" s="21"/>
      <c r="N1" s="21"/>
      <c r="O1" s="4"/>
      <c r="P1" s="4"/>
      <c r="Q1" s="4"/>
      <c r="R1" s="4"/>
    </row>
    <row r="2" spans="2:39" ht="13">
      <c r="B2" s="56" t="s">
        <v>764</v>
      </c>
      <c r="C2" s="56" t="s">
        <v>765</v>
      </c>
      <c r="D2" s="23" t="s">
        <v>766</v>
      </c>
      <c r="E2" s="58" t="e">
        <f>#REF!</f>
        <v>#REF!</v>
      </c>
      <c r="F2" s="59"/>
      <c r="G2" s="58" t="e">
        <f>#REF!</f>
        <v>#REF!</v>
      </c>
      <c r="H2" s="59"/>
      <c r="I2" s="58" t="e">
        <f>#REF!</f>
        <v>#REF!</v>
      </c>
      <c r="J2" s="59"/>
      <c r="K2" s="58" t="e">
        <f>#REF!</f>
        <v>#REF!</v>
      </c>
      <c r="L2" s="59"/>
      <c r="M2" s="58" t="e">
        <f>#REF!</f>
        <v>#REF!</v>
      </c>
      <c r="N2" s="59"/>
      <c r="O2" s="56" t="s">
        <v>1</v>
      </c>
      <c r="P2" s="56" t="s">
        <v>767</v>
      </c>
      <c r="Q2" s="56" t="s">
        <v>768</v>
      </c>
      <c r="R2" s="56" t="s">
        <v>769</v>
      </c>
      <c r="U2" s="56" t="s">
        <v>764</v>
      </c>
      <c r="V2" s="56" t="s">
        <v>765</v>
      </c>
      <c r="W2" s="23" t="s">
        <v>766</v>
      </c>
      <c r="X2" s="58" t="e">
        <f>#REF!</f>
        <v>#REF!</v>
      </c>
      <c r="Y2" s="59"/>
      <c r="Z2" s="58" t="e">
        <f>#REF!</f>
        <v>#REF!</v>
      </c>
      <c r="AA2" s="59"/>
      <c r="AB2" s="58" t="e">
        <f>#REF!</f>
        <v>#REF!</v>
      </c>
      <c r="AC2" s="59"/>
      <c r="AD2" s="58" t="e">
        <f>#REF!</f>
        <v>#REF!</v>
      </c>
      <c r="AE2" s="59"/>
      <c r="AF2" s="58" t="e">
        <f>#REF!</f>
        <v>#REF!</v>
      </c>
      <c r="AG2" s="59"/>
      <c r="AH2" s="56" t="s">
        <v>1</v>
      </c>
      <c r="AI2" s="56" t="s">
        <v>767</v>
      </c>
      <c r="AJ2" s="56" t="s">
        <v>768</v>
      </c>
      <c r="AK2" s="56" t="s">
        <v>769</v>
      </c>
      <c r="AM2" s="60" t="s">
        <v>770</v>
      </c>
    </row>
    <row r="3" spans="2:39" ht="12.5">
      <c r="B3" s="57"/>
      <c r="C3" s="57"/>
      <c r="D3" s="24" t="e">
        <f ca="1">E3+G3</f>
        <v>#REF!</v>
      </c>
      <c r="E3" s="24" t="e">
        <f t="shared" ref="E3:N3" ca="1" si="0">SUM(E4:E843)</f>
        <v>#REF!</v>
      </c>
      <c r="F3" s="25" t="e">
        <f t="shared" ca="1" si="0"/>
        <v>#REF!</v>
      </c>
      <c r="G3" s="24" t="e">
        <f t="shared" ca="1" si="0"/>
        <v>#REF!</v>
      </c>
      <c r="H3" s="25" t="e">
        <f t="shared" ca="1" si="0"/>
        <v>#REF!</v>
      </c>
      <c r="I3" s="24" t="e">
        <f t="shared" ca="1" si="0"/>
        <v>#REF!</v>
      </c>
      <c r="J3" s="25" t="e">
        <f t="shared" ca="1" si="0"/>
        <v>#REF!</v>
      </c>
      <c r="K3" s="24" t="e">
        <f t="shared" ca="1" si="0"/>
        <v>#REF!</v>
      </c>
      <c r="L3" s="25" t="e">
        <f t="shared" ca="1" si="0"/>
        <v>#REF!</v>
      </c>
      <c r="M3" s="24" t="e">
        <f t="shared" ca="1" si="0"/>
        <v>#REF!</v>
      </c>
      <c r="N3" s="25" t="e">
        <f t="shared" ca="1" si="0"/>
        <v>#REF!</v>
      </c>
      <c r="O3" s="57"/>
      <c r="P3" s="57"/>
      <c r="Q3" s="57"/>
      <c r="R3" s="57"/>
      <c r="U3" s="57"/>
      <c r="V3" s="57"/>
      <c r="W3" s="24">
        <f>X3+Z3</f>
        <v>905000</v>
      </c>
      <c r="X3" s="24">
        <f t="shared" ref="X3:AG3" si="1">SUM(X4:X843)</f>
        <v>155000</v>
      </c>
      <c r="Y3" s="25">
        <f t="shared" si="1"/>
        <v>62</v>
      </c>
      <c r="Z3" s="24">
        <f t="shared" si="1"/>
        <v>750000</v>
      </c>
      <c r="AA3" s="25">
        <f t="shared" si="1"/>
        <v>300</v>
      </c>
      <c r="AB3" s="24">
        <f t="shared" si="1"/>
        <v>1256000</v>
      </c>
      <c r="AC3" s="25">
        <f t="shared" si="1"/>
        <v>628</v>
      </c>
      <c r="AD3" s="24">
        <f t="shared" si="1"/>
        <v>1410000</v>
      </c>
      <c r="AE3" s="25">
        <f t="shared" si="1"/>
        <v>705</v>
      </c>
      <c r="AF3" s="24">
        <f t="shared" si="1"/>
        <v>0</v>
      </c>
      <c r="AG3" s="25">
        <f t="shared" si="1"/>
        <v>0</v>
      </c>
      <c r="AH3" s="57"/>
      <c r="AI3" s="57"/>
      <c r="AJ3" s="57"/>
      <c r="AK3" s="57"/>
      <c r="AM3" s="61"/>
    </row>
    <row r="4" spans="2:39" ht="12.5">
      <c r="B4" s="20" t="str">
        <f ca="1">IFERROR(__xludf.DUMMYFUNCTION("IF('設定'!E9, 
   UNIQUE(FILTER('出欠確認名簿'!K3:K843, '出欠確認名簿'!K3:K843&lt;&gt;"""")), 
   UNIQUE(FILTER('出欠確認名簿'!J3:J843, '出欠確認名簿'!J3:J843&lt;&gt;""""))
)"),"仙台育英学園高")</f>
        <v>仙台育英学園高</v>
      </c>
      <c r="C4" s="20" t="e">
        <f t="array" aca="1" ref="C4:C843" ca="1">IF(B4:B843&lt;&gt;"", VLOOKUP(B4:B843, かるた会一覧!B2:C843, 2, FALSE), "")</f>
        <v>#N/A</v>
      </c>
      <c r="D4" s="26" t="e">
        <f t="array" ref="D4:D843" ca="1">IF(E4:E843&lt;&gt;"", E4:E843 + G4:G843, "")</f>
        <v>#REF!</v>
      </c>
      <c r="E4" s="27" t="e">
        <f t="array" ref="E4:E843" ca="1">IF(F$4:F843&lt;&gt;"", F$4:F843 * IFERROR(VLOOKUP(E2,#REF!, 2, FALSE), 0), "")</f>
        <v>#REF!</v>
      </c>
      <c r="F4" s="28" t="e">
        <f t="array" ref="F4:F843" ca="1">IF(
    $B$4:$B843&lt;&gt;"",
    IF(#REF! = TRUE,
       COUNTIFS(#REF!, E2,#REF!, $B$4:$B843),
       COUNTIFS(#REF!, E2,#REF!, $B$4:$B843)
    ),
    ""
  )</f>
        <v>#REF!</v>
      </c>
      <c r="G4" s="27" t="e">
        <f t="array" ref="G4:G843" ca="1">IF(H$4:H843&lt;&gt;"", H$4:H843 * IFERROR(VLOOKUP(G2,#REF!, 2, FALSE), 0), "")</f>
        <v>#REF!</v>
      </c>
      <c r="H4" s="28" t="e">
        <f t="array" ref="H4:H843" ca="1">IF(
    $B$4:$B843&lt;&gt;"",
    IF(#REF! = TRUE,
       COUNTIFS(#REF!, G2,#REF!, $B$4:$B843),
       COUNTIFS(#REF!, G2,#REF!, $B$4:$B843)
    ),
    ""
  )</f>
        <v>#REF!</v>
      </c>
      <c r="I4" s="27" t="e">
        <f t="array" ref="I4:I843" ca="1">IF(J$4:J843&lt;&gt;"", J$4:J843 * IFERROR(VLOOKUP(I2,#REF!, 2, FALSE), 0), "")</f>
        <v>#REF!</v>
      </c>
      <c r="J4" s="28" t="e">
        <f t="array" ref="J4:J843" ca="1">IF(
    $B$4:$B843&lt;&gt;"",
    IF(#REF! = TRUE,
       COUNTIFS(#REF!, I2,#REF!, $B$4:$B843),
       COUNTIFS(#REF!, I2,#REF!, $B$4:$B843)
    ),
    ""
  )</f>
        <v>#REF!</v>
      </c>
      <c r="K4" s="27" t="e">
        <f t="array" ref="K4:K843" ca="1">IF(L$4:L843&lt;&gt;"", L$4:L843 * IFERROR(VLOOKUP(K2,#REF!, 2, FALSE), 0), "")</f>
        <v>#REF!</v>
      </c>
      <c r="L4" s="28" t="e">
        <f t="array" ref="L4:L843" ca="1">IF(
    $B$4:$B843&lt;&gt;"",
    IF(#REF! = TRUE,
       COUNTIFS(#REF!, K2,#REF!, $B$4:$B843),
       COUNTIFS(#REF!, K2,#REF!, $B$4:$B843)
    ),
    ""
  )</f>
        <v>#REF!</v>
      </c>
      <c r="M4" s="27" t="e">
        <f t="array" ref="M4:M843" ca="1">IF(N$4:N843&lt;&gt;"", N$4:N843 * IFERROR(VLOOKUP(M2,#REF!, 2, FALSE), 0), "")</f>
        <v>#REF!</v>
      </c>
      <c r="N4" s="28" t="e">
        <f t="array" ref="N4:N843" ca="1">IF(
    $B$4:$B843&lt;&gt;"",
    IF(#REF! = TRUE,
       COUNTIFS(#REF!, M2,#REF!, $B$4:$B843),
       COUNTIFS(#REF!, M2,#REF!, $B$4:$B843)
    ),
    ""
  )</f>
        <v>#REF!</v>
      </c>
      <c r="O4" s="20" t="e">
        <f t="array" aca="1" ref="O4:O843" ca="1">IF(B4:B843&lt;&gt;"", VLOOKUP(B4:B843, かるた会一覧!$B$2:$E843, 3, FALSE), "")</f>
        <v>#N/A</v>
      </c>
      <c r="P4" s="20" t="e">
        <f t="array" aca="1" ref="P4:P843" ca="1">IF(B4:B843&lt;&gt;"", VLOOKUP(B4:B843, かるた会一覧!$B$2:$E843, 4, FALSE), "")</f>
        <v>#N/A</v>
      </c>
      <c r="Q4" s="20" t="s">
        <v>5</v>
      </c>
      <c r="R4" s="20" t="s">
        <v>5</v>
      </c>
      <c r="U4" s="20" t="s">
        <v>5</v>
      </c>
      <c r="V4" s="20" t="s">
        <v>5</v>
      </c>
      <c r="W4" s="20" t="s">
        <v>5</v>
      </c>
      <c r="X4" s="27" t="s">
        <v>5</v>
      </c>
      <c r="Y4" s="28" t="s">
        <v>5</v>
      </c>
      <c r="Z4" s="27" t="s">
        <v>5</v>
      </c>
      <c r="AA4" s="28" t="s">
        <v>5</v>
      </c>
      <c r="AB4" s="27" t="s">
        <v>5</v>
      </c>
      <c r="AC4" s="27" t="s">
        <v>5</v>
      </c>
      <c r="AD4" s="27" t="s">
        <v>5</v>
      </c>
      <c r="AE4" s="27" t="s">
        <v>5</v>
      </c>
      <c r="AF4" s="27" t="s">
        <v>5</v>
      </c>
      <c r="AG4" s="27" t="s">
        <v>5</v>
      </c>
      <c r="AH4" s="20" t="s">
        <v>5</v>
      </c>
      <c r="AI4" s="20" t="s">
        <v>5</v>
      </c>
      <c r="AJ4" s="20" t="s">
        <v>5</v>
      </c>
      <c r="AK4" s="20" t="s">
        <v>5</v>
      </c>
      <c r="AM4" s="61"/>
    </row>
    <row r="5" spans="2:39" ht="12.5">
      <c r="B5" s="20" t="str">
        <f ca="1">IFERROR(__xludf.DUMMYFUNCTION("""COMPUTED_VALUE"""),"仙台青陵中等教育")</f>
        <v>仙台青陵中等教育</v>
      </c>
      <c r="C5" s="20" t="e">
        <f ca="1"/>
        <v>#N/A</v>
      </c>
      <c r="D5" s="26" t="e">
        <f ca="1"/>
        <v>#REF!</v>
      </c>
      <c r="E5" s="27" t="e">
        <f ca="1"/>
        <v>#REF!</v>
      </c>
      <c r="F5" s="28" t="e">
        <f ca="1"/>
        <v>#REF!</v>
      </c>
      <c r="G5" s="27" t="e">
        <f ca="1"/>
        <v>#REF!</v>
      </c>
      <c r="H5" s="28" t="e">
        <f ca="1"/>
        <v>#REF!</v>
      </c>
      <c r="I5" s="27" t="e">
        <f ca="1"/>
        <v>#REF!</v>
      </c>
      <c r="J5" s="28" t="e">
        <f ca="1"/>
        <v>#REF!</v>
      </c>
      <c r="K5" s="27" t="e">
        <f ca="1"/>
        <v>#REF!</v>
      </c>
      <c r="L5" s="28" t="e">
        <f ca="1"/>
        <v>#REF!</v>
      </c>
      <c r="M5" s="27" t="e">
        <f ca="1"/>
        <v>#REF!</v>
      </c>
      <c r="N5" s="28" t="e">
        <f ca="1"/>
        <v>#REF!</v>
      </c>
      <c r="O5" s="20" t="e">
        <f ca="1"/>
        <v>#N/A</v>
      </c>
      <c r="P5" s="20" t="e">
        <f ca="1"/>
        <v>#N/A</v>
      </c>
      <c r="Q5" s="20" t="s">
        <v>5</v>
      </c>
      <c r="R5" s="20" t="s">
        <v>5</v>
      </c>
      <c r="U5" s="20"/>
      <c r="V5" s="20" t="s">
        <v>5</v>
      </c>
      <c r="W5" s="20" t="s">
        <v>5</v>
      </c>
      <c r="X5" s="27" t="s">
        <v>5</v>
      </c>
      <c r="Y5" s="28" t="s">
        <v>5</v>
      </c>
      <c r="Z5" s="27" t="s">
        <v>5</v>
      </c>
      <c r="AA5" s="28" t="s">
        <v>5</v>
      </c>
      <c r="AB5" s="27" t="s">
        <v>5</v>
      </c>
      <c r="AC5" s="27" t="s">
        <v>5</v>
      </c>
      <c r="AD5" s="27" t="s">
        <v>5</v>
      </c>
      <c r="AE5" s="27" t="s">
        <v>5</v>
      </c>
      <c r="AF5" s="27" t="s">
        <v>5</v>
      </c>
      <c r="AG5" s="27" t="s">
        <v>5</v>
      </c>
      <c r="AH5" s="20" t="s">
        <v>5</v>
      </c>
      <c r="AI5" s="20" t="s">
        <v>5</v>
      </c>
      <c r="AJ5" s="20" t="s">
        <v>5</v>
      </c>
      <c r="AK5" s="20" t="s">
        <v>5</v>
      </c>
      <c r="AM5" s="61"/>
    </row>
    <row r="6" spans="2:39" ht="12.5">
      <c r="B6" s="20" t="str">
        <f ca="1">IFERROR(__xludf.DUMMYFUNCTION("""COMPUTED_VALUE"""),"酒田東高")</f>
        <v>酒田東高</v>
      </c>
      <c r="C6" s="20" t="e">
        <f ca="1"/>
        <v>#N/A</v>
      </c>
      <c r="D6" s="26" t="e">
        <f ca="1"/>
        <v>#REF!</v>
      </c>
      <c r="E6" s="27" t="e">
        <f ca="1"/>
        <v>#REF!</v>
      </c>
      <c r="F6" s="28" t="e">
        <f ca="1"/>
        <v>#REF!</v>
      </c>
      <c r="G6" s="27" t="e">
        <f ca="1"/>
        <v>#REF!</v>
      </c>
      <c r="H6" s="28" t="e">
        <f ca="1"/>
        <v>#REF!</v>
      </c>
      <c r="I6" s="27" t="e">
        <f ca="1"/>
        <v>#REF!</v>
      </c>
      <c r="J6" s="28" t="e">
        <f ca="1"/>
        <v>#REF!</v>
      </c>
      <c r="K6" s="27" t="e">
        <f ca="1"/>
        <v>#REF!</v>
      </c>
      <c r="L6" s="28" t="e">
        <f ca="1"/>
        <v>#REF!</v>
      </c>
      <c r="M6" s="27" t="e">
        <f ca="1"/>
        <v>#REF!</v>
      </c>
      <c r="N6" s="28" t="e">
        <f ca="1"/>
        <v>#REF!</v>
      </c>
      <c r="O6" s="20" t="e">
        <f ca="1"/>
        <v>#N/A</v>
      </c>
      <c r="P6" s="20" t="e">
        <f ca="1"/>
        <v>#N/A</v>
      </c>
      <c r="Q6" s="20" t="s">
        <v>5</v>
      </c>
      <c r="R6" s="20" t="s">
        <v>5</v>
      </c>
      <c r="U6" s="20"/>
      <c r="V6" s="20" t="s">
        <v>5</v>
      </c>
      <c r="W6" s="20" t="s">
        <v>5</v>
      </c>
      <c r="X6" s="27" t="s">
        <v>5</v>
      </c>
      <c r="Y6" s="28" t="s">
        <v>5</v>
      </c>
      <c r="Z6" s="27" t="s">
        <v>5</v>
      </c>
      <c r="AA6" s="28" t="s">
        <v>5</v>
      </c>
      <c r="AB6" s="27" t="s">
        <v>5</v>
      </c>
      <c r="AC6" s="27" t="s">
        <v>5</v>
      </c>
      <c r="AD6" s="27" t="s">
        <v>5</v>
      </c>
      <c r="AE6" s="27" t="s">
        <v>5</v>
      </c>
      <c r="AF6" s="27" t="s">
        <v>5</v>
      </c>
      <c r="AG6" s="27" t="s">
        <v>5</v>
      </c>
      <c r="AH6" s="20" t="s">
        <v>5</v>
      </c>
      <c r="AI6" s="20" t="s">
        <v>5</v>
      </c>
      <c r="AJ6" s="20" t="s">
        <v>5</v>
      </c>
      <c r="AK6" s="20" t="s">
        <v>5</v>
      </c>
    </row>
    <row r="7" spans="2:39" ht="12.5">
      <c r="B7" s="20" t="str">
        <f ca="1">IFERROR(__xludf.DUMMYFUNCTION("""COMPUTED_VALUE"""),"中央中等教育")</f>
        <v>中央中等教育</v>
      </c>
      <c r="C7" s="20" t="e">
        <f ca="1"/>
        <v>#N/A</v>
      </c>
      <c r="D7" s="26" t="e">
        <f ca="1"/>
        <v>#REF!</v>
      </c>
      <c r="E7" s="27" t="e">
        <f ca="1"/>
        <v>#REF!</v>
      </c>
      <c r="F7" s="28" t="e">
        <f ca="1"/>
        <v>#REF!</v>
      </c>
      <c r="G7" s="27" t="e">
        <f ca="1"/>
        <v>#REF!</v>
      </c>
      <c r="H7" s="28" t="e">
        <f ca="1"/>
        <v>#REF!</v>
      </c>
      <c r="I7" s="27" t="e">
        <f ca="1"/>
        <v>#REF!</v>
      </c>
      <c r="J7" s="28" t="e">
        <f ca="1"/>
        <v>#REF!</v>
      </c>
      <c r="K7" s="27" t="e">
        <f ca="1"/>
        <v>#REF!</v>
      </c>
      <c r="L7" s="28" t="e">
        <f ca="1"/>
        <v>#REF!</v>
      </c>
      <c r="M7" s="27" t="e">
        <f ca="1"/>
        <v>#REF!</v>
      </c>
      <c r="N7" s="28" t="e">
        <f ca="1"/>
        <v>#REF!</v>
      </c>
      <c r="O7" s="20" t="e">
        <f ca="1"/>
        <v>#N/A</v>
      </c>
      <c r="P7" s="20" t="e">
        <f ca="1"/>
        <v>#N/A</v>
      </c>
      <c r="Q7" s="20" t="s">
        <v>5</v>
      </c>
      <c r="R7" s="20" t="s">
        <v>5</v>
      </c>
      <c r="U7" s="20"/>
      <c r="V7" s="20" t="s">
        <v>5</v>
      </c>
      <c r="W7" s="20" t="s">
        <v>5</v>
      </c>
      <c r="X7" s="27" t="s">
        <v>5</v>
      </c>
      <c r="Y7" s="28" t="s">
        <v>5</v>
      </c>
      <c r="Z7" s="27" t="s">
        <v>5</v>
      </c>
      <c r="AA7" s="28" t="s">
        <v>5</v>
      </c>
      <c r="AB7" s="27" t="s">
        <v>5</v>
      </c>
      <c r="AC7" s="27" t="s">
        <v>5</v>
      </c>
      <c r="AD7" s="27" t="s">
        <v>5</v>
      </c>
      <c r="AE7" s="27" t="s">
        <v>5</v>
      </c>
      <c r="AF7" s="27" t="s">
        <v>5</v>
      </c>
      <c r="AG7" s="27" t="s">
        <v>5</v>
      </c>
      <c r="AH7" s="20" t="s">
        <v>5</v>
      </c>
      <c r="AI7" s="20" t="s">
        <v>5</v>
      </c>
      <c r="AJ7" s="20" t="s">
        <v>5</v>
      </c>
      <c r="AK7" s="20" t="s">
        <v>5</v>
      </c>
    </row>
    <row r="8" spans="2:39" ht="12.5">
      <c r="B8" s="20" t="str">
        <f ca="1">IFERROR(__xludf.DUMMYFUNCTION("""COMPUTED_VALUE"""),"浦和第一女子高")</f>
        <v>浦和第一女子高</v>
      </c>
      <c r="C8" s="20" t="e">
        <f ca="1"/>
        <v>#N/A</v>
      </c>
      <c r="D8" s="26" t="e">
        <f ca="1"/>
        <v>#REF!</v>
      </c>
      <c r="E8" s="27" t="e">
        <f ca="1"/>
        <v>#REF!</v>
      </c>
      <c r="F8" s="28" t="e">
        <f ca="1"/>
        <v>#REF!</v>
      </c>
      <c r="G8" s="27" t="e">
        <f ca="1"/>
        <v>#REF!</v>
      </c>
      <c r="H8" s="28" t="e">
        <f ca="1"/>
        <v>#REF!</v>
      </c>
      <c r="I8" s="27" t="e">
        <f ca="1"/>
        <v>#REF!</v>
      </c>
      <c r="J8" s="28" t="e">
        <f ca="1"/>
        <v>#REF!</v>
      </c>
      <c r="K8" s="27" t="e">
        <f ca="1"/>
        <v>#REF!</v>
      </c>
      <c r="L8" s="28" t="e">
        <f ca="1"/>
        <v>#REF!</v>
      </c>
      <c r="M8" s="27" t="e">
        <f ca="1"/>
        <v>#REF!</v>
      </c>
      <c r="N8" s="28" t="e">
        <f ca="1"/>
        <v>#REF!</v>
      </c>
      <c r="O8" s="20" t="e">
        <f ca="1"/>
        <v>#N/A</v>
      </c>
      <c r="P8" s="20" t="e">
        <f ca="1"/>
        <v>#N/A</v>
      </c>
      <c r="Q8" s="20" t="s">
        <v>5</v>
      </c>
      <c r="R8" s="20" t="s">
        <v>5</v>
      </c>
      <c r="U8" s="20"/>
      <c r="V8" s="20" t="s">
        <v>5</v>
      </c>
      <c r="W8" s="20" t="s">
        <v>5</v>
      </c>
      <c r="X8" s="27" t="s">
        <v>5</v>
      </c>
      <c r="Y8" s="28" t="s">
        <v>5</v>
      </c>
      <c r="Z8" s="27" t="s">
        <v>5</v>
      </c>
      <c r="AA8" s="28" t="s">
        <v>5</v>
      </c>
      <c r="AB8" s="27" t="s">
        <v>5</v>
      </c>
      <c r="AC8" s="27" t="s">
        <v>5</v>
      </c>
      <c r="AD8" s="27" t="s">
        <v>5</v>
      </c>
      <c r="AE8" s="27" t="s">
        <v>5</v>
      </c>
      <c r="AF8" s="27" t="s">
        <v>5</v>
      </c>
      <c r="AG8" s="27" t="s">
        <v>5</v>
      </c>
      <c r="AH8" s="20" t="s">
        <v>5</v>
      </c>
      <c r="AI8" s="20" t="s">
        <v>5</v>
      </c>
      <c r="AJ8" s="20" t="s">
        <v>5</v>
      </c>
      <c r="AK8" s="20" t="s">
        <v>5</v>
      </c>
    </row>
    <row r="9" spans="2:39" ht="12.5">
      <c r="B9" s="20" t="str">
        <f ca="1">IFERROR(__xludf.DUMMYFUNCTION("""COMPUTED_VALUE"""),"浦和明の星女子高")</f>
        <v>浦和明の星女子高</v>
      </c>
      <c r="C9" s="20" t="e">
        <f ca="1"/>
        <v>#N/A</v>
      </c>
      <c r="D9" s="26" t="e">
        <f ca="1"/>
        <v>#REF!</v>
      </c>
      <c r="E9" s="27" t="e">
        <f ca="1"/>
        <v>#REF!</v>
      </c>
      <c r="F9" s="28" t="e">
        <f ca="1"/>
        <v>#REF!</v>
      </c>
      <c r="G9" s="27" t="e">
        <f ca="1"/>
        <v>#REF!</v>
      </c>
      <c r="H9" s="28" t="e">
        <f ca="1"/>
        <v>#REF!</v>
      </c>
      <c r="I9" s="27" t="e">
        <f ca="1"/>
        <v>#REF!</v>
      </c>
      <c r="J9" s="28" t="e">
        <f ca="1"/>
        <v>#REF!</v>
      </c>
      <c r="K9" s="27" t="e">
        <f ca="1"/>
        <v>#REF!</v>
      </c>
      <c r="L9" s="28" t="e">
        <f ca="1"/>
        <v>#REF!</v>
      </c>
      <c r="M9" s="27" t="e">
        <f ca="1"/>
        <v>#REF!</v>
      </c>
      <c r="N9" s="28" t="e">
        <f ca="1"/>
        <v>#REF!</v>
      </c>
      <c r="O9" s="20" t="e">
        <f ca="1"/>
        <v>#N/A</v>
      </c>
      <c r="P9" s="20" t="e">
        <f ca="1"/>
        <v>#N/A</v>
      </c>
      <c r="Q9" s="20" t="s">
        <v>5</v>
      </c>
      <c r="R9" s="20" t="s">
        <v>5</v>
      </c>
      <c r="U9" s="20"/>
      <c r="V9" s="20" t="s">
        <v>5</v>
      </c>
      <c r="W9" s="20" t="s">
        <v>5</v>
      </c>
      <c r="X9" s="27" t="s">
        <v>5</v>
      </c>
      <c r="Y9" s="28" t="s">
        <v>5</v>
      </c>
      <c r="Z9" s="27" t="s">
        <v>5</v>
      </c>
      <c r="AA9" s="28" t="s">
        <v>5</v>
      </c>
      <c r="AB9" s="27" t="s">
        <v>5</v>
      </c>
      <c r="AC9" s="27" t="s">
        <v>5</v>
      </c>
      <c r="AD9" s="27" t="s">
        <v>5</v>
      </c>
      <c r="AE9" s="27" t="s">
        <v>5</v>
      </c>
      <c r="AF9" s="27" t="s">
        <v>5</v>
      </c>
      <c r="AG9" s="27" t="s">
        <v>5</v>
      </c>
      <c r="AH9" s="20" t="s">
        <v>5</v>
      </c>
      <c r="AI9" s="20" t="s">
        <v>5</v>
      </c>
      <c r="AJ9" s="20" t="s">
        <v>5</v>
      </c>
      <c r="AK9" s="20" t="s">
        <v>5</v>
      </c>
    </row>
    <row r="10" spans="2:39" ht="12.5">
      <c r="B10" s="20" t="str">
        <f ca="1">IFERROR(__xludf.DUMMYFUNCTION("""COMPUTED_VALUE"""),"開智高")</f>
        <v>開智高</v>
      </c>
      <c r="C10" s="20" t="e">
        <f ca="1"/>
        <v>#N/A</v>
      </c>
      <c r="D10" s="26" t="e">
        <f ca="1"/>
        <v>#REF!</v>
      </c>
      <c r="E10" s="27" t="e">
        <f ca="1"/>
        <v>#REF!</v>
      </c>
      <c r="F10" s="28" t="e">
        <f ca="1"/>
        <v>#REF!</v>
      </c>
      <c r="G10" s="27" t="e">
        <f ca="1"/>
        <v>#REF!</v>
      </c>
      <c r="H10" s="28" t="e">
        <f ca="1"/>
        <v>#REF!</v>
      </c>
      <c r="I10" s="27" t="e">
        <f ca="1"/>
        <v>#REF!</v>
      </c>
      <c r="J10" s="28" t="e">
        <f ca="1"/>
        <v>#REF!</v>
      </c>
      <c r="K10" s="27" t="e">
        <f ca="1"/>
        <v>#REF!</v>
      </c>
      <c r="L10" s="28" t="e">
        <f ca="1"/>
        <v>#REF!</v>
      </c>
      <c r="M10" s="27" t="e">
        <f ca="1"/>
        <v>#REF!</v>
      </c>
      <c r="N10" s="28" t="e">
        <f ca="1"/>
        <v>#REF!</v>
      </c>
      <c r="O10" s="20" t="e">
        <f ca="1"/>
        <v>#N/A</v>
      </c>
      <c r="P10" s="20" t="e">
        <f ca="1"/>
        <v>#N/A</v>
      </c>
      <c r="Q10" s="20" t="s">
        <v>5</v>
      </c>
      <c r="R10" s="20" t="s">
        <v>5</v>
      </c>
      <c r="U10" s="20"/>
      <c r="V10" s="20" t="s">
        <v>5</v>
      </c>
      <c r="W10" s="20" t="s">
        <v>5</v>
      </c>
      <c r="X10" s="27" t="s">
        <v>5</v>
      </c>
      <c r="Y10" s="28" t="s">
        <v>5</v>
      </c>
      <c r="Z10" s="27" t="s">
        <v>5</v>
      </c>
      <c r="AA10" s="28" t="s">
        <v>5</v>
      </c>
      <c r="AB10" s="27" t="s">
        <v>5</v>
      </c>
      <c r="AC10" s="27" t="s">
        <v>5</v>
      </c>
      <c r="AD10" s="27" t="s">
        <v>5</v>
      </c>
      <c r="AE10" s="27" t="s">
        <v>5</v>
      </c>
      <c r="AF10" s="27" t="s">
        <v>5</v>
      </c>
      <c r="AG10" s="27" t="s">
        <v>5</v>
      </c>
      <c r="AH10" s="20" t="s">
        <v>5</v>
      </c>
      <c r="AI10" s="20" t="s">
        <v>5</v>
      </c>
      <c r="AJ10" s="20" t="s">
        <v>5</v>
      </c>
      <c r="AK10" s="20" t="s">
        <v>5</v>
      </c>
    </row>
    <row r="11" spans="2:39" ht="12.5">
      <c r="B11" s="20" t="str">
        <f ca="1">IFERROR(__xludf.DUMMYFUNCTION("""COMPUTED_VALUE"""),"浦和西高")</f>
        <v>浦和西高</v>
      </c>
      <c r="C11" s="20" t="e">
        <f ca="1"/>
        <v>#N/A</v>
      </c>
      <c r="D11" s="26" t="e">
        <f ca="1"/>
        <v>#REF!</v>
      </c>
      <c r="E11" s="27" t="e">
        <f ca="1"/>
        <v>#REF!</v>
      </c>
      <c r="F11" s="28" t="e">
        <f ca="1"/>
        <v>#REF!</v>
      </c>
      <c r="G11" s="27" t="e">
        <f ca="1"/>
        <v>#REF!</v>
      </c>
      <c r="H11" s="28" t="e">
        <f ca="1"/>
        <v>#REF!</v>
      </c>
      <c r="I11" s="27" t="e">
        <f ca="1"/>
        <v>#REF!</v>
      </c>
      <c r="J11" s="28" t="e">
        <f ca="1"/>
        <v>#REF!</v>
      </c>
      <c r="K11" s="27" t="e">
        <f ca="1"/>
        <v>#REF!</v>
      </c>
      <c r="L11" s="28" t="e">
        <f ca="1"/>
        <v>#REF!</v>
      </c>
      <c r="M11" s="27" t="e">
        <f ca="1"/>
        <v>#REF!</v>
      </c>
      <c r="N11" s="28" t="e">
        <f ca="1"/>
        <v>#REF!</v>
      </c>
      <c r="O11" s="20" t="e">
        <f ca="1"/>
        <v>#N/A</v>
      </c>
      <c r="P11" s="20" t="e">
        <f ca="1"/>
        <v>#N/A</v>
      </c>
      <c r="Q11" s="20" t="s">
        <v>5</v>
      </c>
      <c r="R11" s="20" t="s">
        <v>5</v>
      </c>
      <c r="U11" s="20"/>
      <c r="V11" s="20" t="s">
        <v>5</v>
      </c>
      <c r="W11" s="20" t="s">
        <v>5</v>
      </c>
      <c r="X11" s="27" t="s">
        <v>5</v>
      </c>
      <c r="Y11" s="28" t="s">
        <v>5</v>
      </c>
      <c r="Z11" s="27" t="s">
        <v>5</v>
      </c>
      <c r="AA11" s="28" t="s">
        <v>5</v>
      </c>
      <c r="AB11" s="27" t="s">
        <v>5</v>
      </c>
      <c r="AC11" s="27" t="s">
        <v>5</v>
      </c>
      <c r="AD11" s="27" t="s">
        <v>5</v>
      </c>
      <c r="AE11" s="27" t="s">
        <v>5</v>
      </c>
      <c r="AF11" s="27" t="s">
        <v>5</v>
      </c>
      <c r="AG11" s="27" t="s">
        <v>5</v>
      </c>
      <c r="AH11" s="20" t="s">
        <v>5</v>
      </c>
      <c r="AI11" s="20" t="s">
        <v>5</v>
      </c>
      <c r="AJ11" s="20" t="s">
        <v>5</v>
      </c>
      <c r="AK11" s="20" t="s">
        <v>5</v>
      </c>
    </row>
    <row r="12" spans="2:39" ht="12.5">
      <c r="B12" s="20" t="str">
        <f ca="1">IFERROR(__xludf.DUMMYFUNCTION("""COMPUTED_VALUE"""),"星野高")</f>
        <v>星野高</v>
      </c>
      <c r="C12" s="20" t="e">
        <f ca="1"/>
        <v>#N/A</v>
      </c>
      <c r="D12" s="26" t="e">
        <f ca="1"/>
        <v>#REF!</v>
      </c>
      <c r="E12" s="27" t="e">
        <f ca="1"/>
        <v>#REF!</v>
      </c>
      <c r="F12" s="28" t="e">
        <f ca="1"/>
        <v>#REF!</v>
      </c>
      <c r="G12" s="27" t="e">
        <f ca="1"/>
        <v>#REF!</v>
      </c>
      <c r="H12" s="28" t="e">
        <f ca="1"/>
        <v>#REF!</v>
      </c>
      <c r="I12" s="27" t="e">
        <f ca="1"/>
        <v>#REF!</v>
      </c>
      <c r="J12" s="28" t="e">
        <f ca="1"/>
        <v>#REF!</v>
      </c>
      <c r="K12" s="27" t="e">
        <f ca="1"/>
        <v>#REF!</v>
      </c>
      <c r="L12" s="28" t="e">
        <f ca="1"/>
        <v>#REF!</v>
      </c>
      <c r="M12" s="27" t="e">
        <f ca="1"/>
        <v>#REF!</v>
      </c>
      <c r="N12" s="28" t="e">
        <f ca="1"/>
        <v>#REF!</v>
      </c>
      <c r="O12" s="20" t="e">
        <f ca="1"/>
        <v>#N/A</v>
      </c>
      <c r="P12" s="20" t="e">
        <f ca="1"/>
        <v>#N/A</v>
      </c>
      <c r="Q12" s="20" t="s">
        <v>5</v>
      </c>
      <c r="R12" s="20" t="s">
        <v>5</v>
      </c>
      <c r="U12" s="20"/>
      <c r="V12" s="20" t="s">
        <v>5</v>
      </c>
      <c r="W12" s="20" t="s">
        <v>5</v>
      </c>
      <c r="X12" s="27" t="s">
        <v>5</v>
      </c>
      <c r="Y12" s="28" t="s">
        <v>5</v>
      </c>
      <c r="Z12" s="27" t="s">
        <v>5</v>
      </c>
      <c r="AA12" s="28" t="s">
        <v>5</v>
      </c>
      <c r="AB12" s="27" t="s">
        <v>5</v>
      </c>
      <c r="AC12" s="27" t="s">
        <v>5</v>
      </c>
      <c r="AD12" s="27" t="s">
        <v>5</v>
      </c>
      <c r="AE12" s="27" t="s">
        <v>5</v>
      </c>
      <c r="AF12" s="27" t="s">
        <v>5</v>
      </c>
      <c r="AG12" s="27" t="s">
        <v>5</v>
      </c>
      <c r="AH12" s="20" t="s">
        <v>5</v>
      </c>
      <c r="AI12" s="20" t="s">
        <v>5</v>
      </c>
      <c r="AJ12" s="20" t="s">
        <v>5</v>
      </c>
      <c r="AK12" s="20" t="s">
        <v>5</v>
      </c>
    </row>
    <row r="13" spans="2:39" ht="12.5">
      <c r="B13" s="20" t="str">
        <f ca="1">IFERROR(__xludf.DUMMYFUNCTION("""COMPUTED_VALUE"""),"市川高")</f>
        <v>市川高</v>
      </c>
      <c r="C13" s="20" t="e">
        <f ca="1"/>
        <v>#N/A</v>
      </c>
      <c r="D13" s="26" t="e">
        <f ca="1"/>
        <v>#REF!</v>
      </c>
      <c r="E13" s="27" t="e">
        <f ca="1"/>
        <v>#REF!</v>
      </c>
      <c r="F13" s="28" t="e">
        <f ca="1"/>
        <v>#REF!</v>
      </c>
      <c r="G13" s="27" t="e">
        <f ca="1"/>
        <v>#REF!</v>
      </c>
      <c r="H13" s="28" t="e">
        <f ca="1"/>
        <v>#REF!</v>
      </c>
      <c r="I13" s="27" t="e">
        <f ca="1"/>
        <v>#REF!</v>
      </c>
      <c r="J13" s="28" t="e">
        <f ca="1"/>
        <v>#REF!</v>
      </c>
      <c r="K13" s="27" t="e">
        <f ca="1"/>
        <v>#REF!</v>
      </c>
      <c r="L13" s="28" t="e">
        <f ca="1"/>
        <v>#REF!</v>
      </c>
      <c r="M13" s="27" t="e">
        <f ca="1"/>
        <v>#REF!</v>
      </c>
      <c r="N13" s="28" t="e">
        <f ca="1"/>
        <v>#REF!</v>
      </c>
      <c r="O13" s="20" t="e">
        <f ca="1"/>
        <v>#N/A</v>
      </c>
      <c r="P13" s="20" t="e">
        <f ca="1"/>
        <v>#N/A</v>
      </c>
      <c r="Q13" s="20" t="s">
        <v>5</v>
      </c>
      <c r="R13" s="20" t="s">
        <v>5</v>
      </c>
      <c r="U13" s="20"/>
      <c r="V13" s="20" t="s">
        <v>5</v>
      </c>
      <c r="W13" s="20" t="s">
        <v>5</v>
      </c>
      <c r="X13" s="27" t="s">
        <v>5</v>
      </c>
      <c r="Y13" s="28" t="s">
        <v>5</v>
      </c>
      <c r="Z13" s="27" t="s">
        <v>5</v>
      </c>
      <c r="AA13" s="28" t="s">
        <v>5</v>
      </c>
      <c r="AB13" s="27" t="s">
        <v>5</v>
      </c>
      <c r="AC13" s="27" t="s">
        <v>5</v>
      </c>
      <c r="AD13" s="27" t="s">
        <v>5</v>
      </c>
      <c r="AE13" s="27" t="s">
        <v>5</v>
      </c>
      <c r="AF13" s="27" t="s">
        <v>5</v>
      </c>
      <c r="AG13" s="27" t="s">
        <v>5</v>
      </c>
      <c r="AH13" s="20" t="s">
        <v>5</v>
      </c>
      <c r="AI13" s="20" t="s">
        <v>5</v>
      </c>
      <c r="AJ13" s="20" t="s">
        <v>5</v>
      </c>
      <c r="AK13" s="20" t="s">
        <v>5</v>
      </c>
    </row>
    <row r="14" spans="2:39" ht="12.5">
      <c r="B14" s="20" t="str">
        <f ca="1">IFERROR(__xludf.DUMMYFUNCTION("""COMPUTED_VALUE"""),"成田高")</f>
        <v>成田高</v>
      </c>
      <c r="C14" s="20" t="e">
        <f ca="1"/>
        <v>#N/A</v>
      </c>
      <c r="D14" s="26" t="e">
        <f ca="1"/>
        <v>#REF!</v>
      </c>
      <c r="E14" s="27" t="e">
        <f ca="1"/>
        <v>#REF!</v>
      </c>
      <c r="F14" s="28" t="e">
        <f ca="1"/>
        <v>#REF!</v>
      </c>
      <c r="G14" s="27" t="e">
        <f ca="1"/>
        <v>#REF!</v>
      </c>
      <c r="H14" s="28" t="e">
        <f ca="1"/>
        <v>#REF!</v>
      </c>
      <c r="I14" s="27" t="e">
        <f ca="1"/>
        <v>#REF!</v>
      </c>
      <c r="J14" s="28" t="e">
        <f ca="1"/>
        <v>#REF!</v>
      </c>
      <c r="K14" s="27" t="e">
        <f ca="1"/>
        <v>#REF!</v>
      </c>
      <c r="L14" s="28" t="e">
        <f ca="1"/>
        <v>#REF!</v>
      </c>
      <c r="M14" s="27" t="e">
        <f ca="1"/>
        <v>#REF!</v>
      </c>
      <c r="N14" s="28" t="e">
        <f ca="1"/>
        <v>#REF!</v>
      </c>
      <c r="O14" s="20" t="e">
        <f ca="1"/>
        <v>#N/A</v>
      </c>
      <c r="P14" s="20" t="e">
        <f ca="1"/>
        <v>#N/A</v>
      </c>
      <c r="Q14" s="20" t="s">
        <v>5</v>
      </c>
      <c r="R14" s="20" t="s">
        <v>5</v>
      </c>
      <c r="U14" s="20"/>
      <c r="V14" s="20" t="s">
        <v>5</v>
      </c>
      <c r="W14" s="20" t="s">
        <v>5</v>
      </c>
      <c r="X14" s="27" t="s">
        <v>5</v>
      </c>
      <c r="Y14" s="28" t="s">
        <v>5</v>
      </c>
      <c r="Z14" s="27" t="s">
        <v>5</v>
      </c>
      <c r="AA14" s="28" t="s">
        <v>5</v>
      </c>
      <c r="AB14" s="27" t="s">
        <v>5</v>
      </c>
      <c r="AC14" s="27" t="s">
        <v>5</v>
      </c>
      <c r="AD14" s="27" t="s">
        <v>5</v>
      </c>
      <c r="AE14" s="27" t="s">
        <v>5</v>
      </c>
      <c r="AF14" s="27" t="s">
        <v>5</v>
      </c>
      <c r="AG14" s="27" t="s">
        <v>5</v>
      </c>
      <c r="AH14" s="20" t="s">
        <v>5</v>
      </c>
      <c r="AI14" s="20" t="s">
        <v>5</v>
      </c>
      <c r="AJ14" s="20" t="s">
        <v>5</v>
      </c>
      <c r="AK14" s="20" t="s">
        <v>5</v>
      </c>
    </row>
    <row r="15" spans="2:39" ht="12.5">
      <c r="B15" s="20" t="str">
        <f ca="1">IFERROR(__xludf.DUMMYFUNCTION("""COMPUTED_VALUE"""),"鎌ヶ谷高")</f>
        <v>鎌ヶ谷高</v>
      </c>
      <c r="C15" s="20" t="e">
        <f ca="1"/>
        <v>#N/A</v>
      </c>
      <c r="D15" s="26" t="e">
        <f ca="1"/>
        <v>#REF!</v>
      </c>
      <c r="E15" s="27" t="e">
        <f ca="1"/>
        <v>#REF!</v>
      </c>
      <c r="F15" s="28" t="e">
        <f ca="1"/>
        <v>#REF!</v>
      </c>
      <c r="G15" s="27" t="e">
        <f ca="1"/>
        <v>#REF!</v>
      </c>
      <c r="H15" s="28" t="e">
        <f ca="1"/>
        <v>#REF!</v>
      </c>
      <c r="I15" s="27" t="e">
        <f ca="1"/>
        <v>#REF!</v>
      </c>
      <c r="J15" s="28" t="e">
        <f ca="1"/>
        <v>#REF!</v>
      </c>
      <c r="K15" s="27" t="e">
        <f ca="1"/>
        <v>#REF!</v>
      </c>
      <c r="L15" s="28" t="e">
        <f ca="1"/>
        <v>#REF!</v>
      </c>
      <c r="M15" s="27" t="e">
        <f ca="1"/>
        <v>#REF!</v>
      </c>
      <c r="N15" s="28" t="e">
        <f ca="1"/>
        <v>#REF!</v>
      </c>
      <c r="O15" s="20" t="e">
        <f ca="1"/>
        <v>#N/A</v>
      </c>
      <c r="P15" s="20" t="e">
        <f ca="1"/>
        <v>#N/A</v>
      </c>
      <c r="Q15" s="20" t="s">
        <v>5</v>
      </c>
      <c r="R15" s="20" t="s">
        <v>5</v>
      </c>
      <c r="U15" s="20"/>
      <c r="V15" s="20" t="s">
        <v>5</v>
      </c>
      <c r="W15" s="20" t="s">
        <v>5</v>
      </c>
      <c r="X15" s="27" t="s">
        <v>5</v>
      </c>
      <c r="Y15" s="28" t="s">
        <v>5</v>
      </c>
      <c r="Z15" s="27" t="s">
        <v>5</v>
      </c>
      <c r="AA15" s="28" t="s">
        <v>5</v>
      </c>
      <c r="AB15" s="27" t="s">
        <v>5</v>
      </c>
      <c r="AC15" s="27" t="s">
        <v>5</v>
      </c>
      <c r="AD15" s="27" t="s">
        <v>5</v>
      </c>
      <c r="AE15" s="27" t="s">
        <v>5</v>
      </c>
      <c r="AF15" s="27" t="s">
        <v>5</v>
      </c>
      <c r="AG15" s="27" t="s">
        <v>5</v>
      </c>
      <c r="AH15" s="20" t="s">
        <v>5</v>
      </c>
      <c r="AI15" s="20" t="s">
        <v>5</v>
      </c>
      <c r="AJ15" s="20" t="s">
        <v>5</v>
      </c>
      <c r="AK15" s="20" t="s">
        <v>5</v>
      </c>
    </row>
    <row r="16" spans="2:39" ht="12.5">
      <c r="B16" s="20" t="str">
        <f ca="1">IFERROR(__xludf.DUMMYFUNCTION("""COMPUTED_VALUE"""),"流通経大付柏高")</f>
        <v>流通経大付柏高</v>
      </c>
      <c r="C16" s="20" t="e">
        <f ca="1"/>
        <v>#N/A</v>
      </c>
      <c r="D16" s="26" t="e">
        <f ca="1"/>
        <v>#REF!</v>
      </c>
      <c r="E16" s="27" t="e">
        <f ca="1"/>
        <v>#REF!</v>
      </c>
      <c r="F16" s="28" t="e">
        <f ca="1"/>
        <v>#REF!</v>
      </c>
      <c r="G16" s="27" t="e">
        <f ca="1"/>
        <v>#REF!</v>
      </c>
      <c r="H16" s="28" t="e">
        <f ca="1"/>
        <v>#REF!</v>
      </c>
      <c r="I16" s="27" t="e">
        <f ca="1"/>
        <v>#REF!</v>
      </c>
      <c r="J16" s="28" t="e">
        <f ca="1"/>
        <v>#REF!</v>
      </c>
      <c r="K16" s="27" t="e">
        <f ca="1"/>
        <v>#REF!</v>
      </c>
      <c r="L16" s="28" t="e">
        <f ca="1"/>
        <v>#REF!</v>
      </c>
      <c r="M16" s="27" t="e">
        <f ca="1"/>
        <v>#REF!</v>
      </c>
      <c r="N16" s="28" t="e">
        <f ca="1"/>
        <v>#REF!</v>
      </c>
      <c r="O16" s="20" t="e">
        <f ca="1"/>
        <v>#N/A</v>
      </c>
      <c r="P16" s="20" t="e">
        <f ca="1"/>
        <v>#N/A</v>
      </c>
      <c r="Q16" s="20" t="s">
        <v>5</v>
      </c>
      <c r="R16" s="20" t="s">
        <v>5</v>
      </c>
      <c r="U16" s="20"/>
      <c r="V16" s="20" t="s">
        <v>5</v>
      </c>
      <c r="W16" s="20" t="s">
        <v>5</v>
      </c>
      <c r="X16" s="27" t="s">
        <v>5</v>
      </c>
      <c r="Y16" s="28" t="s">
        <v>5</v>
      </c>
      <c r="Z16" s="27" t="s">
        <v>5</v>
      </c>
      <c r="AA16" s="28" t="s">
        <v>5</v>
      </c>
      <c r="AB16" s="27" t="s">
        <v>5</v>
      </c>
      <c r="AC16" s="27" t="s">
        <v>5</v>
      </c>
      <c r="AD16" s="27" t="s">
        <v>5</v>
      </c>
      <c r="AE16" s="27" t="s">
        <v>5</v>
      </c>
      <c r="AF16" s="27" t="s">
        <v>5</v>
      </c>
      <c r="AG16" s="27" t="s">
        <v>5</v>
      </c>
      <c r="AH16" s="20" t="s">
        <v>5</v>
      </c>
      <c r="AI16" s="20" t="s">
        <v>5</v>
      </c>
      <c r="AJ16" s="20" t="s">
        <v>5</v>
      </c>
      <c r="AK16" s="20" t="s">
        <v>5</v>
      </c>
    </row>
    <row r="17" spans="2:37" ht="12.5">
      <c r="B17" s="20" t="str">
        <f ca="1">IFERROR(__xludf.DUMMYFUNCTION("""COMPUTED_VALUE"""),"安田学園高")</f>
        <v>安田学園高</v>
      </c>
      <c r="C17" s="20" t="e">
        <f ca="1"/>
        <v>#N/A</v>
      </c>
      <c r="D17" s="26" t="e">
        <f ca="1"/>
        <v>#REF!</v>
      </c>
      <c r="E17" s="27" t="e">
        <f ca="1"/>
        <v>#REF!</v>
      </c>
      <c r="F17" s="28" t="e">
        <f ca="1"/>
        <v>#REF!</v>
      </c>
      <c r="G17" s="27" t="e">
        <f ca="1"/>
        <v>#REF!</v>
      </c>
      <c r="H17" s="28" t="e">
        <f ca="1"/>
        <v>#REF!</v>
      </c>
      <c r="I17" s="27" t="e">
        <f ca="1"/>
        <v>#REF!</v>
      </c>
      <c r="J17" s="28" t="e">
        <f ca="1"/>
        <v>#REF!</v>
      </c>
      <c r="K17" s="27" t="e">
        <f ca="1"/>
        <v>#REF!</v>
      </c>
      <c r="L17" s="28" t="e">
        <f ca="1"/>
        <v>#REF!</v>
      </c>
      <c r="M17" s="27" t="e">
        <f ca="1"/>
        <v>#REF!</v>
      </c>
      <c r="N17" s="28" t="e">
        <f ca="1"/>
        <v>#REF!</v>
      </c>
      <c r="O17" s="20" t="e">
        <f ca="1"/>
        <v>#N/A</v>
      </c>
      <c r="P17" s="20" t="e">
        <f ca="1"/>
        <v>#N/A</v>
      </c>
      <c r="Q17" s="20" t="s">
        <v>5</v>
      </c>
      <c r="R17" s="20" t="s">
        <v>5</v>
      </c>
      <c r="U17" s="20"/>
      <c r="V17" s="20" t="s">
        <v>5</v>
      </c>
      <c r="W17" s="20" t="s">
        <v>5</v>
      </c>
      <c r="X17" s="27" t="s">
        <v>5</v>
      </c>
      <c r="Y17" s="28" t="s">
        <v>5</v>
      </c>
      <c r="Z17" s="27" t="s">
        <v>5</v>
      </c>
      <c r="AA17" s="28" t="s">
        <v>5</v>
      </c>
      <c r="AB17" s="27" t="s">
        <v>5</v>
      </c>
      <c r="AC17" s="27" t="s">
        <v>5</v>
      </c>
      <c r="AD17" s="27" t="s">
        <v>5</v>
      </c>
      <c r="AE17" s="27" t="s">
        <v>5</v>
      </c>
      <c r="AF17" s="27" t="s">
        <v>5</v>
      </c>
      <c r="AG17" s="27" t="s">
        <v>5</v>
      </c>
      <c r="AH17" s="20" t="s">
        <v>5</v>
      </c>
      <c r="AI17" s="20" t="s">
        <v>5</v>
      </c>
      <c r="AJ17" s="20" t="s">
        <v>5</v>
      </c>
      <c r="AK17" s="20" t="s">
        <v>5</v>
      </c>
    </row>
    <row r="18" spans="2:37" ht="12.5">
      <c r="B18" s="20" t="str">
        <f ca="1">IFERROR(__xludf.DUMMYFUNCTION("""COMPUTED_VALUE"""),"海城高")</f>
        <v>海城高</v>
      </c>
      <c r="C18" s="20" t="e">
        <f ca="1"/>
        <v>#N/A</v>
      </c>
      <c r="D18" s="26" t="e">
        <f ca="1"/>
        <v>#REF!</v>
      </c>
      <c r="E18" s="27" t="e">
        <f ca="1"/>
        <v>#REF!</v>
      </c>
      <c r="F18" s="28" t="e">
        <f ca="1"/>
        <v>#REF!</v>
      </c>
      <c r="G18" s="27" t="e">
        <f ca="1"/>
        <v>#REF!</v>
      </c>
      <c r="H18" s="28" t="e">
        <f ca="1"/>
        <v>#REF!</v>
      </c>
      <c r="I18" s="27" t="e">
        <f ca="1"/>
        <v>#REF!</v>
      </c>
      <c r="J18" s="28" t="e">
        <f ca="1"/>
        <v>#REF!</v>
      </c>
      <c r="K18" s="27" t="e">
        <f ca="1"/>
        <v>#REF!</v>
      </c>
      <c r="L18" s="28" t="e">
        <f ca="1"/>
        <v>#REF!</v>
      </c>
      <c r="M18" s="27" t="e">
        <f ca="1"/>
        <v>#REF!</v>
      </c>
      <c r="N18" s="28" t="e">
        <f ca="1"/>
        <v>#REF!</v>
      </c>
      <c r="O18" s="20" t="e">
        <f ca="1"/>
        <v>#N/A</v>
      </c>
      <c r="P18" s="20" t="e">
        <f ca="1"/>
        <v>#N/A</v>
      </c>
      <c r="Q18" s="20" t="s">
        <v>5</v>
      </c>
      <c r="R18" s="20" t="s">
        <v>5</v>
      </c>
      <c r="U18" s="20"/>
      <c r="V18" s="20" t="s">
        <v>5</v>
      </c>
      <c r="W18" s="20" t="s">
        <v>5</v>
      </c>
      <c r="X18" s="27" t="s">
        <v>5</v>
      </c>
      <c r="Y18" s="28" t="s">
        <v>5</v>
      </c>
      <c r="Z18" s="27" t="s">
        <v>5</v>
      </c>
      <c r="AA18" s="28" t="s">
        <v>5</v>
      </c>
      <c r="AB18" s="27" t="s">
        <v>5</v>
      </c>
      <c r="AC18" s="27" t="s">
        <v>5</v>
      </c>
      <c r="AD18" s="27" t="s">
        <v>5</v>
      </c>
      <c r="AE18" s="27" t="s">
        <v>5</v>
      </c>
      <c r="AF18" s="27" t="s">
        <v>5</v>
      </c>
      <c r="AG18" s="27" t="s">
        <v>5</v>
      </c>
      <c r="AH18" s="20" t="s">
        <v>5</v>
      </c>
      <c r="AI18" s="20" t="s">
        <v>5</v>
      </c>
      <c r="AJ18" s="20" t="s">
        <v>5</v>
      </c>
      <c r="AK18" s="20" t="s">
        <v>5</v>
      </c>
    </row>
    <row r="19" spans="2:37" ht="12.5">
      <c r="B19" s="20" t="str">
        <f ca="1">IFERROR(__xludf.DUMMYFUNCTION("""COMPUTED_VALUE"""),"関東一高")</f>
        <v>関東一高</v>
      </c>
      <c r="C19" s="20" t="e">
        <f ca="1"/>
        <v>#N/A</v>
      </c>
      <c r="D19" s="26" t="e">
        <f ca="1"/>
        <v>#REF!</v>
      </c>
      <c r="E19" s="27" t="e">
        <f ca="1"/>
        <v>#REF!</v>
      </c>
      <c r="F19" s="28" t="e">
        <f ca="1"/>
        <v>#REF!</v>
      </c>
      <c r="G19" s="27" t="e">
        <f ca="1"/>
        <v>#REF!</v>
      </c>
      <c r="H19" s="28" t="e">
        <f ca="1"/>
        <v>#REF!</v>
      </c>
      <c r="I19" s="27" t="e">
        <f ca="1"/>
        <v>#REF!</v>
      </c>
      <c r="J19" s="28" t="e">
        <f ca="1"/>
        <v>#REF!</v>
      </c>
      <c r="K19" s="27" t="e">
        <f ca="1"/>
        <v>#REF!</v>
      </c>
      <c r="L19" s="28" t="e">
        <f ca="1"/>
        <v>#REF!</v>
      </c>
      <c r="M19" s="27" t="e">
        <f ca="1"/>
        <v>#REF!</v>
      </c>
      <c r="N19" s="28" t="e">
        <f ca="1"/>
        <v>#REF!</v>
      </c>
      <c r="O19" s="20" t="e">
        <f ca="1"/>
        <v>#N/A</v>
      </c>
      <c r="P19" s="20" t="e">
        <f ca="1"/>
        <v>#N/A</v>
      </c>
      <c r="Q19" s="20" t="s">
        <v>5</v>
      </c>
      <c r="R19" s="20" t="s">
        <v>5</v>
      </c>
      <c r="U19" s="20"/>
      <c r="V19" s="20" t="s">
        <v>5</v>
      </c>
      <c r="W19" s="20" t="s">
        <v>5</v>
      </c>
      <c r="X19" s="27" t="s">
        <v>5</v>
      </c>
      <c r="Y19" s="28" t="s">
        <v>5</v>
      </c>
      <c r="Z19" s="27" t="s">
        <v>5</v>
      </c>
      <c r="AA19" s="28" t="s">
        <v>5</v>
      </c>
      <c r="AB19" s="27" t="s">
        <v>5</v>
      </c>
      <c r="AC19" s="27" t="s">
        <v>5</v>
      </c>
      <c r="AD19" s="27" t="s">
        <v>5</v>
      </c>
      <c r="AE19" s="27" t="s">
        <v>5</v>
      </c>
      <c r="AF19" s="27" t="s">
        <v>5</v>
      </c>
      <c r="AG19" s="27" t="s">
        <v>5</v>
      </c>
      <c r="AH19" s="20" t="s">
        <v>5</v>
      </c>
      <c r="AI19" s="20" t="s">
        <v>5</v>
      </c>
      <c r="AJ19" s="20" t="s">
        <v>5</v>
      </c>
      <c r="AK19" s="20" t="s">
        <v>5</v>
      </c>
    </row>
    <row r="20" spans="2:37" ht="12.5">
      <c r="B20" s="20" t="str">
        <f ca="1">IFERROR(__xludf.DUMMYFUNCTION("""COMPUTED_VALUE"""),"暁星高")</f>
        <v>暁星高</v>
      </c>
      <c r="C20" s="20" t="e">
        <f ca="1"/>
        <v>#N/A</v>
      </c>
      <c r="D20" s="26" t="e">
        <f ca="1"/>
        <v>#REF!</v>
      </c>
      <c r="E20" s="27" t="e">
        <f ca="1"/>
        <v>#REF!</v>
      </c>
      <c r="F20" s="28" t="e">
        <f ca="1"/>
        <v>#REF!</v>
      </c>
      <c r="G20" s="27" t="e">
        <f ca="1"/>
        <v>#REF!</v>
      </c>
      <c r="H20" s="28" t="e">
        <f ca="1"/>
        <v>#REF!</v>
      </c>
      <c r="I20" s="27" t="e">
        <f ca="1"/>
        <v>#REF!</v>
      </c>
      <c r="J20" s="28" t="e">
        <f ca="1"/>
        <v>#REF!</v>
      </c>
      <c r="K20" s="27" t="e">
        <f ca="1"/>
        <v>#REF!</v>
      </c>
      <c r="L20" s="28" t="e">
        <f ca="1"/>
        <v>#REF!</v>
      </c>
      <c r="M20" s="27" t="e">
        <f ca="1"/>
        <v>#REF!</v>
      </c>
      <c r="N20" s="28" t="e">
        <f ca="1"/>
        <v>#REF!</v>
      </c>
      <c r="O20" s="20" t="e">
        <f ca="1"/>
        <v>#N/A</v>
      </c>
      <c r="P20" s="20" t="e">
        <f ca="1"/>
        <v>#N/A</v>
      </c>
      <c r="Q20" s="20" t="s">
        <v>5</v>
      </c>
      <c r="R20" s="20" t="s">
        <v>5</v>
      </c>
      <c r="U20" s="20"/>
      <c r="V20" s="20" t="s">
        <v>5</v>
      </c>
      <c r="W20" s="20" t="s">
        <v>5</v>
      </c>
      <c r="X20" s="27" t="s">
        <v>5</v>
      </c>
      <c r="Y20" s="28" t="s">
        <v>5</v>
      </c>
      <c r="Z20" s="27" t="s">
        <v>5</v>
      </c>
      <c r="AA20" s="28" t="s">
        <v>5</v>
      </c>
      <c r="AB20" s="27" t="s">
        <v>5</v>
      </c>
      <c r="AC20" s="27" t="s">
        <v>5</v>
      </c>
      <c r="AD20" s="27" t="s">
        <v>5</v>
      </c>
      <c r="AE20" s="27" t="s">
        <v>5</v>
      </c>
      <c r="AF20" s="27" t="s">
        <v>5</v>
      </c>
      <c r="AG20" s="27" t="s">
        <v>5</v>
      </c>
      <c r="AH20" s="20" t="s">
        <v>5</v>
      </c>
      <c r="AI20" s="20" t="s">
        <v>5</v>
      </c>
      <c r="AJ20" s="20" t="s">
        <v>5</v>
      </c>
      <c r="AK20" s="20" t="s">
        <v>5</v>
      </c>
    </row>
    <row r="21" spans="2:37" ht="12.5">
      <c r="B21" s="20" t="str">
        <f ca="1">IFERROR(__xludf.DUMMYFUNCTION("""COMPUTED_VALUE"""),"渋谷教育学園渋谷高")</f>
        <v>渋谷教育学園渋谷高</v>
      </c>
      <c r="C21" s="20" t="e">
        <f ca="1"/>
        <v>#N/A</v>
      </c>
      <c r="D21" s="26" t="e">
        <f ca="1"/>
        <v>#REF!</v>
      </c>
      <c r="E21" s="27" t="e">
        <f ca="1"/>
        <v>#REF!</v>
      </c>
      <c r="F21" s="28" t="e">
        <f ca="1"/>
        <v>#REF!</v>
      </c>
      <c r="G21" s="27" t="e">
        <f ca="1"/>
        <v>#REF!</v>
      </c>
      <c r="H21" s="28" t="e">
        <f ca="1"/>
        <v>#REF!</v>
      </c>
      <c r="I21" s="27" t="e">
        <f ca="1"/>
        <v>#REF!</v>
      </c>
      <c r="J21" s="28" t="e">
        <f ca="1"/>
        <v>#REF!</v>
      </c>
      <c r="K21" s="27" t="e">
        <f ca="1"/>
        <v>#REF!</v>
      </c>
      <c r="L21" s="28" t="e">
        <f ca="1"/>
        <v>#REF!</v>
      </c>
      <c r="M21" s="27" t="e">
        <f ca="1"/>
        <v>#REF!</v>
      </c>
      <c r="N21" s="28" t="e">
        <f ca="1"/>
        <v>#REF!</v>
      </c>
      <c r="O21" s="20" t="e">
        <f ca="1"/>
        <v>#N/A</v>
      </c>
      <c r="P21" s="20" t="e">
        <f ca="1"/>
        <v>#N/A</v>
      </c>
      <c r="Q21" s="20" t="s">
        <v>5</v>
      </c>
      <c r="R21" s="20" t="s">
        <v>5</v>
      </c>
      <c r="U21" s="20"/>
      <c r="V21" s="20" t="s">
        <v>5</v>
      </c>
      <c r="W21" s="20" t="s">
        <v>5</v>
      </c>
      <c r="X21" s="27" t="s">
        <v>5</v>
      </c>
      <c r="Y21" s="28" t="s">
        <v>5</v>
      </c>
      <c r="Z21" s="27" t="s">
        <v>5</v>
      </c>
      <c r="AA21" s="28" t="s">
        <v>5</v>
      </c>
      <c r="AB21" s="27" t="s">
        <v>5</v>
      </c>
      <c r="AC21" s="27" t="s">
        <v>5</v>
      </c>
      <c r="AD21" s="27" t="s">
        <v>5</v>
      </c>
      <c r="AE21" s="27" t="s">
        <v>5</v>
      </c>
      <c r="AF21" s="27" t="s">
        <v>5</v>
      </c>
      <c r="AG21" s="27" t="s">
        <v>5</v>
      </c>
      <c r="AH21" s="20" t="s">
        <v>5</v>
      </c>
      <c r="AI21" s="20" t="s">
        <v>5</v>
      </c>
      <c r="AJ21" s="20" t="s">
        <v>5</v>
      </c>
      <c r="AK21" s="20" t="s">
        <v>5</v>
      </c>
    </row>
    <row r="22" spans="2:37" ht="12.5">
      <c r="B22" s="20" t="str">
        <f ca="1">IFERROR(__xludf.DUMMYFUNCTION("""COMPUTED_VALUE"""),"駒場高")</f>
        <v>駒場高</v>
      </c>
      <c r="C22" s="20" t="e">
        <f ca="1"/>
        <v>#N/A</v>
      </c>
      <c r="D22" s="26" t="e">
        <f ca="1"/>
        <v>#REF!</v>
      </c>
      <c r="E22" s="27" t="e">
        <f ca="1"/>
        <v>#REF!</v>
      </c>
      <c r="F22" s="28" t="e">
        <f ca="1"/>
        <v>#REF!</v>
      </c>
      <c r="G22" s="27" t="e">
        <f ca="1"/>
        <v>#REF!</v>
      </c>
      <c r="H22" s="28" t="e">
        <f ca="1"/>
        <v>#REF!</v>
      </c>
      <c r="I22" s="27" t="e">
        <f ca="1"/>
        <v>#REF!</v>
      </c>
      <c r="J22" s="28" t="e">
        <f ca="1"/>
        <v>#REF!</v>
      </c>
      <c r="K22" s="27" t="e">
        <f ca="1"/>
        <v>#REF!</v>
      </c>
      <c r="L22" s="28" t="e">
        <f ca="1"/>
        <v>#REF!</v>
      </c>
      <c r="M22" s="27" t="e">
        <f ca="1"/>
        <v>#REF!</v>
      </c>
      <c r="N22" s="28" t="e">
        <f ca="1"/>
        <v>#REF!</v>
      </c>
      <c r="O22" s="20" t="e">
        <f ca="1"/>
        <v>#N/A</v>
      </c>
      <c r="P22" s="20" t="e">
        <f ca="1"/>
        <v>#N/A</v>
      </c>
      <c r="Q22" s="20" t="s">
        <v>5</v>
      </c>
      <c r="R22" s="20" t="s">
        <v>5</v>
      </c>
      <c r="U22" s="20"/>
      <c r="V22" s="20" t="s">
        <v>5</v>
      </c>
      <c r="W22" s="20" t="s">
        <v>5</v>
      </c>
      <c r="X22" s="27" t="s">
        <v>5</v>
      </c>
      <c r="Y22" s="28" t="s">
        <v>5</v>
      </c>
      <c r="Z22" s="27" t="s">
        <v>5</v>
      </c>
      <c r="AA22" s="28" t="s">
        <v>5</v>
      </c>
      <c r="AB22" s="27" t="s">
        <v>5</v>
      </c>
      <c r="AC22" s="27" t="s">
        <v>5</v>
      </c>
      <c r="AD22" s="27" t="s">
        <v>5</v>
      </c>
      <c r="AE22" s="27" t="s">
        <v>5</v>
      </c>
      <c r="AF22" s="27" t="s">
        <v>5</v>
      </c>
      <c r="AG22" s="27" t="s">
        <v>5</v>
      </c>
      <c r="AH22" s="20" t="s">
        <v>5</v>
      </c>
      <c r="AI22" s="20" t="s">
        <v>5</v>
      </c>
      <c r="AJ22" s="20" t="s">
        <v>5</v>
      </c>
      <c r="AK22" s="20" t="s">
        <v>5</v>
      </c>
    </row>
    <row r="23" spans="2:37" ht="12.5">
      <c r="B23" s="20" t="str">
        <f ca="1">IFERROR(__xludf.DUMMYFUNCTION("""COMPUTED_VALUE"""),"南多摩中等教育")</f>
        <v>南多摩中等教育</v>
      </c>
      <c r="C23" s="20" t="e">
        <f ca="1"/>
        <v>#N/A</v>
      </c>
      <c r="D23" s="26" t="e">
        <f ca="1"/>
        <v>#REF!</v>
      </c>
      <c r="E23" s="27" t="e">
        <f ca="1"/>
        <v>#REF!</v>
      </c>
      <c r="F23" s="28" t="e">
        <f ca="1"/>
        <v>#REF!</v>
      </c>
      <c r="G23" s="27" t="e">
        <f ca="1"/>
        <v>#REF!</v>
      </c>
      <c r="H23" s="28" t="e">
        <f ca="1"/>
        <v>#REF!</v>
      </c>
      <c r="I23" s="27" t="e">
        <f ca="1"/>
        <v>#REF!</v>
      </c>
      <c r="J23" s="28" t="e">
        <f ca="1"/>
        <v>#REF!</v>
      </c>
      <c r="K23" s="27" t="e">
        <f ca="1"/>
        <v>#REF!</v>
      </c>
      <c r="L23" s="28" t="e">
        <f ca="1"/>
        <v>#REF!</v>
      </c>
      <c r="M23" s="27" t="e">
        <f ca="1"/>
        <v>#REF!</v>
      </c>
      <c r="N23" s="28" t="e">
        <f ca="1"/>
        <v>#REF!</v>
      </c>
      <c r="O23" s="20" t="e">
        <f ca="1"/>
        <v>#N/A</v>
      </c>
      <c r="P23" s="20" t="e">
        <f ca="1"/>
        <v>#N/A</v>
      </c>
      <c r="Q23" s="20" t="s">
        <v>5</v>
      </c>
      <c r="R23" s="20" t="s">
        <v>5</v>
      </c>
      <c r="U23" s="20"/>
      <c r="V23" s="20" t="s">
        <v>5</v>
      </c>
      <c r="W23" s="20" t="s">
        <v>5</v>
      </c>
      <c r="X23" s="27" t="s">
        <v>5</v>
      </c>
      <c r="Y23" s="28" t="s">
        <v>5</v>
      </c>
      <c r="Z23" s="27" t="s">
        <v>5</v>
      </c>
      <c r="AA23" s="28" t="s">
        <v>5</v>
      </c>
      <c r="AB23" s="27" t="s">
        <v>5</v>
      </c>
      <c r="AC23" s="27" t="s">
        <v>5</v>
      </c>
      <c r="AD23" s="27" t="s">
        <v>5</v>
      </c>
      <c r="AE23" s="27" t="s">
        <v>5</v>
      </c>
      <c r="AF23" s="27" t="s">
        <v>5</v>
      </c>
      <c r="AG23" s="27" t="s">
        <v>5</v>
      </c>
      <c r="AH23" s="20" t="s">
        <v>5</v>
      </c>
      <c r="AI23" s="20" t="s">
        <v>5</v>
      </c>
      <c r="AJ23" s="20" t="s">
        <v>5</v>
      </c>
      <c r="AK23" s="20" t="s">
        <v>5</v>
      </c>
    </row>
    <row r="24" spans="2:37" ht="12.5">
      <c r="B24" s="20" t="str">
        <f ca="1">IFERROR(__xludf.DUMMYFUNCTION("""COMPUTED_VALUE"""),"白鷗高")</f>
        <v>白鷗高</v>
      </c>
      <c r="C24" s="20" t="e">
        <f ca="1"/>
        <v>#N/A</v>
      </c>
      <c r="D24" s="26" t="e">
        <f ca="1"/>
        <v>#REF!</v>
      </c>
      <c r="E24" s="27" t="e">
        <f ca="1"/>
        <v>#REF!</v>
      </c>
      <c r="F24" s="28" t="e">
        <f ca="1"/>
        <v>#REF!</v>
      </c>
      <c r="G24" s="27" t="e">
        <f ca="1"/>
        <v>#REF!</v>
      </c>
      <c r="H24" s="28" t="e">
        <f ca="1"/>
        <v>#REF!</v>
      </c>
      <c r="I24" s="27" t="e">
        <f ca="1"/>
        <v>#REF!</v>
      </c>
      <c r="J24" s="28" t="e">
        <f ca="1"/>
        <v>#REF!</v>
      </c>
      <c r="K24" s="27" t="e">
        <f ca="1"/>
        <v>#REF!</v>
      </c>
      <c r="L24" s="28" t="e">
        <f ca="1"/>
        <v>#REF!</v>
      </c>
      <c r="M24" s="27" t="e">
        <f ca="1"/>
        <v>#REF!</v>
      </c>
      <c r="N24" s="28" t="e">
        <f ca="1"/>
        <v>#REF!</v>
      </c>
      <c r="O24" s="20" t="e">
        <f ca="1"/>
        <v>#N/A</v>
      </c>
      <c r="P24" s="20" t="e">
        <f ca="1"/>
        <v>#N/A</v>
      </c>
      <c r="Q24" s="20" t="s">
        <v>5</v>
      </c>
      <c r="R24" s="20" t="s">
        <v>5</v>
      </c>
      <c r="U24" s="20"/>
      <c r="V24" s="20" t="s">
        <v>5</v>
      </c>
      <c r="W24" s="20" t="s">
        <v>5</v>
      </c>
      <c r="X24" s="27" t="s">
        <v>5</v>
      </c>
      <c r="Y24" s="28" t="s">
        <v>5</v>
      </c>
      <c r="Z24" s="27" t="s">
        <v>5</v>
      </c>
      <c r="AA24" s="28" t="s">
        <v>5</v>
      </c>
      <c r="AB24" s="27" t="s">
        <v>5</v>
      </c>
      <c r="AC24" s="27" t="s">
        <v>5</v>
      </c>
      <c r="AD24" s="27" t="s">
        <v>5</v>
      </c>
      <c r="AE24" s="27" t="s">
        <v>5</v>
      </c>
      <c r="AF24" s="27" t="s">
        <v>5</v>
      </c>
      <c r="AG24" s="27" t="s">
        <v>5</v>
      </c>
      <c r="AH24" s="20" t="s">
        <v>5</v>
      </c>
      <c r="AI24" s="20" t="s">
        <v>5</v>
      </c>
      <c r="AJ24" s="20" t="s">
        <v>5</v>
      </c>
      <c r="AK24" s="20" t="s">
        <v>5</v>
      </c>
    </row>
    <row r="25" spans="2:37" ht="12.5">
      <c r="B25" s="20" t="str">
        <f ca="1">IFERROR(__xludf.DUMMYFUNCTION("""COMPUTED_VALUE"""),"富士見高")</f>
        <v>富士見高</v>
      </c>
      <c r="C25" s="20" t="e">
        <f ca="1"/>
        <v>#N/A</v>
      </c>
      <c r="D25" s="26" t="e">
        <f ca="1"/>
        <v>#REF!</v>
      </c>
      <c r="E25" s="27" t="e">
        <f ca="1"/>
        <v>#REF!</v>
      </c>
      <c r="F25" s="28" t="e">
        <f ca="1"/>
        <v>#REF!</v>
      </c>
      <c r="G25" s="27" t="e">
        <f ca="1"/>
        <v>#REF!</v>
      </c>
      <c r="H25" s="28" t="e">
        <f ca="1"/>
        <v>#REF!</v>
      </c>
      <c r="I25" s="27" t="e">
        <f ca="1"/>
        <v>#REF!</v>
      </c>
      <c r="J25" s="28" t="e">
        <f ca="1"/>
        <v>#REF!</v>
      </c>
      <c r="K25" s="27" t="e">
        <f ca="1"/>
        <v>#REF!</v>
      </c>
      <c r="L25" s="28" t="e">
        <f ca="1"/>
        <v>#REF!</v>
      </c>
      <c r="M25" s="27" t="e">
        <f ca="1"/>
        <v>#REF!</v>
      </c>
      <c r="N25" s="28" t="e">
        <f ca="1"/>
        <v>#REF!</v>
      </c>
      <c r="O25" s="20" t="e">
        <f ca="1"/>
        <v>#N/A</v>
      </c>
      <c r="P25" s="20" t="e">
        <f ca="1"/>
        <v>#N/A</v>
      </c>
      <c r="Q25" s="20" t="s">
        <v>5</v>
      </c>
      <c r="R25" s="20" t="s">
        <v>5</v>
      </c>
      <c r="U25" s="20"/>
      <c r="V25" s="20" t="s">
        <v>5</v>
      </c>
      <c r="W25" s="20" t="s">
        <v>5</v>
      </c>
      <c r="X25" s="27" t="s">
        <v>5</v>
      </c>
      <c r="Y25" s="28" t="s">
        <v>5</v>
      </c>
      <c r="Z25" s="27" t="s">
        <v>5</v>
      </c>
      <c r="AA25" s="28" t="s">
        <v>5</v>
      </c>
      <c r="AB25" s="27" t="s">
        <v>5</v>
      </c>
      <c r="AC25" s="27" t="s">
        <v>5</v>
      </c>
      <c r="AD25" s="27" t="s">
        <v>5</v>
      </c>
      <c r="AE25" s="27" t="s">
        <v>5</v>
      </c>
      <c r="AF25" s="27" t="s">
        <v>5</v>
      </c>
      <c r="AG25" s="27" t="s">
        <v>5</v>
      </c>
      <c r="AH25" s="20" t="s">
        <v>5</v>
      </c>
      <c r="AI25" s="20" t="s">
        <v>5</v>
      </c>
      <c r="AJ25" s="20" t="s">
        <v>5</v>
      </c>
      <c r="AK25" s="20" t="s">
        <v>5</v>
      </c>
    </row>
    <row r="26" spans="2:37" ht="12.5">
      <c r="B26" s="20" t="str">
        <f ca="1">IFERROR(__xludf.DUMMYFUNCTION("""COMPUTED_VALUE"""),"横浜平沼高")</f>
        <v>横浜平沼高</v>
      </c>
      <c r="C26" s="20" t="e">
        <f ca="1"/>
        <v>#N/A</v>
      </c>
      <c r="D26" s="26" t="e">
        <f ca="1"/>
        <v>#REF!</v>
      </c>
      <c r="E26" s="27" t="e">
        <f ca="1"/>
        <v>#REF!</v>
      </c>
      <c r="F26" s="28" t="e">
        <f ca="1"/>
        <v>#REF!</v>
      </c>
      <c r="G26" s="27" t="e">
        <f ca="1"/>
        <v>#REF!</v>
      </c>
      <c r="H26" s="28" t="e">
        <f ca="1"/>
        <v>#REF!</v>
      </c>
      <c r="I26" s="27" t="e">
        <f ca="1"/>
        <v>#REF!</v>
      </c>
      <c r="J26" s="28" t="e">
        <f ca="1"/>
        <v>#REF!</v>
      </c>
      <c r="K26" s="27" t="e">
        <f ca="1"/>
        <v>#REF!</v>
      </c>
      <c r="L26" s="28" t="e">
        <f ca="1"/>
        <v>#REF!</v>
      </c>
      <c r="M26" s="27" t="e">
        <f ca="1"/>
        <v>#REF!</v>
      </c>
      <c r="N26" s="28" t="e">
        <f ca="1"/>
        <v>#REF!</v>
      </c>
      <c r="O26" s="20" t="e">
        <f ca="1"/>
        <v>#N/A</v>
      </c>
      <c r="P26" s="20" t="e">
        <f ca="1"/>
        <v>#N/A</v>
      </c>
      <c r="Q26" s="20" t="s">
        <v>5</v>
      </c>
      <c r="R26" s="20" t="s">
        <v>5</v>
      </c>
      <c r="U26" s="20"/>
      <c r="V26" s="20" t="s">
        <v>5</v>
      </c>
      <c r="W26" s="20" t="s">
        <v>5</v>
      </c>
      <c r="X26" s="27" t="s">
        <v>5</v>
      </c>
      <c r="Y26" s="28" t="s">
        <v>5</v>
      </c>
      <c r="Z26" s="27" t="s">
        <v>5</v>
      </c>
      <c r="AA26" s="28" t="s">
        <v>5</v>
      </c>
      <c r="AB26" s="27" t="s">
        <v>5</v>
      </c>
      <c r="AC26" s="27" t="s">
        <v>5</v>
      </c>
      <c r="AD26" s="27" t="s">
        <v>5</v>
      </c>
      <c r="AE26" s="27" t="s">
        <v>5</v>
      </c>
      <c r="AF26" s="27" t="s">
        <v>5</v>
      </c>
      <c r="AG26" s="27" t="s">
        <v>5</v>
      </c>
      <c r="AH26" s="20" t="s">
        <v>5</v>
      </c>
      <c r="AI26" s="20" t="s">
        <v>5</v>
      </c>
      <c r="AJ26" s="20" t="s">
        <v>5</v>
      </c>
      <c r="AK26" s="20" t="s">
        <v>5</v>
      </c>
    </row>
    <row r="27" spans="2:37" ht="12.5">
      <c r="B27" s="20" t="str">
        <f ca="1">IFERROR(__xludf.DUMMYFUNCTION("""COMPUTED_VALUE"""),"平塚江南高")</f>
        <v>平塚江南高</v>
      </c>
      <c r="C27" s="20" t="e">
        <f ca="1"/>
        <v>#N/A</v>
      </c>
      <c r="D27" s="26" t="e">
        <f ca="1"/>
        <v>#REF!</v>
      </c>
      <c r="E27" s="27" t="e">
        <f ca="1"/>
        <v>#REF!</v>
      </c>
      <c r="F27" s="28" t="e">
        <f ca="1"/>
        <v>#REF!</v>
      </c>
      <c r="G27" s="27" t="e">
        <f ca="1"/>
        <v>#REF!</v>
      </c>
      <c r="H27" s="28" t="e">
        <f ca="1"/>
        <v>#REF!</v>
      </c>
      <c r="I27" s="27" t="e">
        <f ca="1"/>
        <v>#REF!</v>
      </c>
      <c r="J27" s="28" t="e">
        <f ca="1"/>
        <v>#REF!</v>
      </c>
      <c r="K27" s="27" t="e">
        <f ca="1"/>
        <v>#REF!</v>
      </c>
      <c r="L27" s="28" t="e">
        <f ca="1"/>
        <v>#REF!</v>
      </c>
      <c r="M27" s="27" t="e">
        <f ca="1"/>
        <v>#REF!</v>
      </c>
      <c r="N27" s="28" t="e">
        <f ca="1"/>
        <v>#REF!</v>
      </c>
      <c r="O27" s="20" t="e">
        <f ca="1"/>
        <v>#N/A</v>
      </c>
      <c r="P27" s="20" t="e">
        <f ca="1"/>
        <v>#N/A</v>
      </c>
      <c r="Q27" s="20" t="s">
        <v>5</v>
      </c>
      <c r="R27" s="20" t="s">
        <v>5</v>
      </c>
      <c r="U27" s="20"/>
      <c r="V27" s="20" t="s">
        <v>5</v>
      </c>
      <c r="W27" s="20" t="s">
        <v>5</v>
      </c>
      <c r="X27" s="27" t="s">
        <v>5</v>
      </c>
      <c r="Y27" s="28" t="s">
        <v>5</v>
      </c>
      <c r="Z27" s="27" t="s">
        <v>5</v>
      </c>
      <c r="AA27" s="28" t="s">
        <v>5</v>
      </c>
      <c r="AB27" s="27" t="s">
        <v>5</v>
      </c>
      <c r="AC27" s="27" t="s">
        <v>5</v>
      </c>
      <c r="AD27" s="27" t="s">
        <v>5</v>
      </c>
      <c r="AE27" s="27" t="s">
        <v>5</v>
      </c>
      <c r="AF27" s="27" t="s">
        <v>5</v>
      </c>
      <c r="AG27" s="27" t="s">
        <v>5</v>
      </c>
      <c r="AH27" s="20" t="s">
        <v>5</v>
      </c>
      <c r="AI27" s="20" t="s">
        <v>5</v>
      </c>
      <c r="AJ27" s="20" t="s">
        <v>5</v>
      </c>
      <c r="AK27" s="20" t="s">
        <v>5</v>
      </c>
    </row>
    <row r="28" spans="2:37" ht="12.5">
      <c r="B28" s="20" t="str">
        <f ca="1">IFERROR(__xludf.DUMMYFUNCTION("""COMPUTED_VALUE"""),"日本航空高")</f>
        <v>日本航空高</v>
      </c>
      <c r="C28" s="20" t="e">
        <f ca="1"/>
        <v>#N/A</v>
      </c>
      <c r="D28" s="26" t="e">
        <f ca="1"/>
        <v>#REF!</v>
      </c>
      <c r="E28" s="27" t="e">
        <f ca="1"/>
        <v>#REF!</v>
      </c>
      <c r="F28" s="28" t="e">
        <f ca="1"/>
        <v>#REF!</v>
      </c>
      <c r="G28" s="27" t="e">
        <f ca="1"/>
        <v>#REF!</v>
      </c>
      <c r="H28" s="28" t="e">
        <f ca="1"/>
        <v>#REF!</v>
      </c>
      <c r="I28" s="27" t="e">
        <f ca="1"/>
        <v>#REF!</v>
      </c>
      <c r="J28" s="28" t="e">
        <f ca="1"/>
        <v>#REF!</v>
      </c>
      <c r="K28" s="27" t="e">
        <f ca="1"/>
        <v>#REF!</v>
      </c>
      <c r="L28" s="28" t="e">
        <f ca="1"/>
        <v>#REF!</v>
      </c>
      <c r="M28" s="27" t="e">
        <f ca="1"/>
        <v>#REF!</v>
      </c>
      <c r="N28" s="28" t="e">
        <f ca="1"/>
        <v>#REF!</v>
      </c>
      <c r="O28" s="20" t="e">
        <f ca="1"/>
        <v>#N/A</v>
      </c>
      <c r="P28" s="20" t="e">
        <f ca="1"/>
        <v>#N/A</v>
      </c>
      <c r="Q28" s="20" t="s">
        <v>5</v>
      </c>
      <c r="R28" s="20" t="s">
        <v>5</v>
      </c>
      <c r="U28" s="20"/>
      <c r="V28" s="20" t="s">
        <v>5</v>
      </c>
      <c r="W28" s="20" t="s">
        <v>5</v>
      </c>
      <c r="X28" s="27" t="s">
        <v>5</v>
      </c>
      <c r="Y28" s="28" t="s">
        <v>5</v>
      </c>
      <c r="Z28" s="27" t="s">
        <v>5</v>
      </c>
      <c r="AA28" s="28" t="s">
        <v>5</v>
      </c>
      <c r="AB28" s="27" t="s">
        <v>5</v>
      </c>
      <c r="AC28" s="27" t="s">
        <v>5</v>
      </c>
      <c r="AD28" s="27" t="s">
        <v>5</v>
      </c>
      <c r="AE28" s="27" t="s">
        <v>5</v>
      </c>
      <c r="AF28" s="27" t="s">
        <v>5</v>
      </c>
      <c r="AG28" s="27" t="s">
        <v>5</v>
      </c>
      <c r="AH28" s="20" t="s">
        <v>5</v>
      </c>
      <c r="AI28" s="20" t="s">
        <v>5</v>
      </c>
      <c r="AJ28" s="20" t="s">
        <v>5</v>
      </c>
      <c r="AK28" s="20" t="s">
        <v>5</v>
      </c>
    </row>
    <row r="29" spans="2:37" ht="12.5">
      <c r="B29" s="20" t="str">
        <f ca="1">IFERROR(__xludf.DUMMYFUNCTION("""COMPUTED_VALUE"""),"金沢錦丘高")</f>
        <v>金沢錦丘高</v>
      </c>
      <c r="C29" s="20" t="e">
        <f ca="1"/>
        <v>#N/A</v>
      </c>
      <c r="D29" s="26" t="e">
        <f ca="1"/>
        <v>#REF!</v>
      </c>
      <c r="E29" s="27" t="e">
        <f ca="1"/>
        <v>#REF!</v>
      </c>
      <c r="F29" s="28" t="e">
        <f ca="1"/>
        <v>#REF!</v>
      </c>
      <c r="G29" s="27" t="e">
        <f ca="1"/>
        <v>#REF!</v>
      </c>
      <c r="H29" s="28" t="e">
        <f ca="1"/>
        <v>#REF!</v>
      </c>
      <c r="I29" s="27" t="e">
        <f ca="1"/>
        <v>#REF!</v>
      </c>
      <c r="J29" s="28" t="e">
        <f ca="1"/>
        <v>#REF!</v>
      </c>
      <c r="K29" s="27" t="e">
        <f ca="1"/>
        <v>#REF!</v>
      </c>
      <c r="L29" s="28" t="e">
        <f ca="1"/>
        <v>#REF!</v>
      </c>
      <c r="M29" s="27" t="e">
        <f ca="1"/>
        <v>#REF!</v>
      </c>
      <c r="N29" s="28" t="e">
        <f ca="1"/>
        <v>#REF!</v>
      </c>
      <c r="O29" s="20" t="e">
        <f ca="1"/>
        <v>#N/A</v>
      </c>
      <c r="P29" s="20" t="e">
        <f ca="1"/>
        <v>#N/A</v>
      </c>
      <c r="Q29" s="20" t="s">
        <v>5</v>
      </c>
      <c r="R29" s="20" t="s">
        <v>5</v>
      </c>
      <c r="U29" s="20"/>
      <c r="V29" s="20" t="s">
        <v>5</v>
      </c>
      <c r="W29" s="20" t="s">
        <v>5</v>
      </c>
      <c r="X29" s="27" t="s">
        <v>5</v>
      </c>
      <c r="Y29" s="28" t="s">
        <v>5</v>
      </c>
      <c r="Z29" s="27" t="s">
        <v>5</v>
      </c>
      <c r="AA29" s="28" t="s">
        <v>5</v>
      </c>
      <c r="AB29" s="27" t="s">
        <v>5</v>
      </c>
      <c r="AC29" s="27" t="s">
        <v>5</v>
      </c>
      <c r="AD29" s="27" t="s">
        <v>5</v>
      </c>
      <c r="AE29" s="27" t="s">
        <v>5</v>
      </c>
      <c r="AF29" s="27" t="s">
        <v>5</v>
      </c>
      <c r="AG29" s="27" t="s">
        <v>5</v>
      </c>
      <c r="AH29" s="20" t="s">
        <v>5</v>
      </c>
      <c r="AI29" s="20" t="s">
        <v>5</v>
      </c>
      <c r="AJ29" s="20" t="s">
        <v>5</v>
      </c>
      <c r="AK29" s="20" t="s">
        <v>5</v>
      </c>
    </row>
    <row r="30" spans="2:37" ht="12.5">
      <c r="B30" s="20" t="str">
        <f ca="1">IFERROR(__xludf.DUMMYFUNCTION("""COMPUTED_VALUE"""),"金沢泉丘高")</f>
        <v>金沢泉丘高</v>
      </c>
      <c r="C30" s="20" t="e">
        <f ca="1"/>
        <v>#N/A</v>
      </c>
      <c r="D30" s="26" t="e">
        <f ca="1"/>
        <v>#REF!</v>
      </c>
      <c r="E30" s="27" t="e">
        <f ca="1"/>
        <v>#REF!</v>
      </c>
      <c r="F30" s="28" t="e">
        <f ca="1"/>
        <v>#REF!</v>
      </c>
      <c r="G30" s="27" t="e">
        <f ca="1"/>
        <v>#REF!</v>
      </c>
      <c r="H30" s="28" t="e">
        <f ca="1"/>
        <v>#REF!</v>
      </c>
      <c r="I30" s="27" t="e">
        <f ca="1"/>
        <v>#REF!</v>
      </c>
      <c r="J30" s="28" t="e">
        <f ca="1"/>
        <v>#REF!</v>
      </c>
      <c r="K30" s="27" t="e">
        <f ca="1"/>
        <v>#REF!</v>
      </c>
      <c r="L30" s="28" t="e">
        <f ca="1"/>
        <v>#REF!</v>
      </c>
      <c r="M30" s="27" t="e">
        <f ca="1"/>
        <v>#REF!</v>
      </c>
      <c r="N30" s="28" t="e">
        <f ca="1"/>
        <v>#REF!</v>
      </c>
      <c r="O30" s="20" t="e">
        <f ca="1"/>
        <v>#N/A</v>
      </c>
      <c r="P30" s="20" t="e">
        <f ca="1"/>
        <v>#N/A</v>
      </c>
      <c r="Q30" s="20" t="s">
        <v>5</v>
      </c>
      <c r="R30" s="20" t="s">
        <v>5</v>
      </c>
      <c r="U30" s="20"/>
      <c r="V30" s="20" t="s">
        <v>5</v>
      </c>
      <c r="W30" s="20" t="s">
        <v>5</v>
      </c>
      <c r="X30" s="27" t="s">
        <v>5</v>
      </c>
      <c r="Y30" s="28" t="s">
        <v>5</v>
      </c>
      <c r="Z30" s="27" t="s">
        <v>5</v>
      </c>
      <c r="AA30" s="28" t="s">
        <v>5</v>
      </c>
      <c r="AB30" s="27" t="s">
        <v>5</v>
      </c>
      <c r="AC30" s="27" t="s">
        <v>5</v>
      </c>
      <c r="AD30" s="27" t="s">
        <v>5</v>
      </c>
      <c r="AE30" s="27" t="s">
        <v>5</v>
      </c>
      <c r="AF30" s="27" t="s">
        <v>5</v>
      </c>
      <c r="AG30" s="27" t="s">
        <v>5</v>
      </c>
      <c r="AH30" s="20" t="s">
        <v>5</v>
      </c>
      <c r="AI30" s="20" t="s">
        <v>5</v>
      </c>
      <c r="AJ30" s="20" t="s">
        <v>5</v>
      </c>
      <c r="AK30" s="20" t="s">
        <v>5</v>
      </c>
    </row>
    <row r="31" spans="2:37" ht="12.5">
      <c r="B31" s="20" t="str">
        <f ca="1">IFERROR(__xludf.DUMMYFUNCTION("""COMPUTED_VALUE"""),"敦賀気比高")</f>
        <v>敦賀気比高</v>
      </c>
      <c r="C31" s="20" t="e">
        <f ca="1"/>
        <v>#N/A</v>
      </c>
      <c r="D31" s="26" t="e">
        <f ca="1"/>
        <v>#REF!</v>
      </c>
      <c r="E31" s="27" t="e">
        <f ca="1"/>
        <v>#REF!</v>
      </c>
      <c r="F31" s="28" t="e">
        <f ca="1"/>
        <v>#REF!</v>
      </c>
      <c r="G31" s="27" t="e">
        <f ca="1"/>
        <v>#REF!</v>
      </c>
      <c r="H31" s="28" t="e">
        <f ca="1"/>
        <v>#REF!</v>
      </c>
      <c r="I31" s="27" t="e">
        <f ca="1"/>
        <v>#REF!</v>
      </c>
      <c r="J31" s="28" t="e">
        <f ca="1"/>
        <v>#REF!</v>
      </c>
      <c r="K31" s="27" t="e">
        <f ca="1"/>
        <v>#REF!</v>
      </c>
      <c r="L31" s="28" t="e">
        <f ca="1"/>
        <v>#REF!</v>
      </c>
      <c r="M31" s="27" t="e">
        <f ca="1"/>
        <v>#REF!</v>
      </c>
      <c r="N31" s="28" t="e">
        <f ca="1"/>
        <v>#REF!</v>
      </c>
      <c r="O31" s="20" t="e">
        <f ca="1"/>
        <v>#N/A</v>
      </c>
      <c r="P31" s="20" t="e">
        <f ca="1"/>
        <v>#N/A</v>
      </c>
      <c r="Q31" s="20" t="s">
        <v>5</v>
      </c>
      <c r="R31" s="20" t="s">
        <v>5</v>
      </c>
      <c r="U31" s="20"/>
      <c r="V31" s="20" t="s">
        <v>5</v>
      </c>
      <c r="W31" s="20" t="s">
        <v>5</v>
      </c>
      <c r="X31" s="27" t="s">
        <v>5</v>
      </c>
      <c r="Y31" s="28" t="s">
        <v>5</v>
      </c>
      <c r="Z31" s="27" t="s">
        <v>5</v>
      </c>
      <c r="AA31" s="28" t="s">
        <v>5</v>
      </c>
      <c r="AB31" s="27" t="s">
        <v>5</v>
      </c>
      <c r="AC31" s="27" t="s">
        <v>5</v>
      </c>
      <c r="AD31" s="27" t="s">
        <v>5</v>
      </c>
      <c r="AE31" s="27" t="s">
        <v>5</v>
      </c>
      <c r="AF31" s="27" t="s">
        <v>5</v>
      </c>
      <c r="AG31" s="27" t="s">
        <v>5</v>
      </c>
      <c r="AH31" s="20" t="s">
        <v>5</v>
      </c>
      <c r="AI31" s="20" t="s">
        <v>5</v>
      </c>
      <c r="AJ31" s="20" t="s">
        <v>5</v>
      </c>
      <c r="AK31" s="20" t="s">
        <v>5</v>
      </c>
    </row>
    <row r="32" spans="2:37" ht="12.5">
      <c r="B32" s="20" t="str">
        <f ca="1">IFERROR(__xludf.DUMMYFUNCTION("""COMPUTED_VALUE"""),"美方高")</f>
        <v>美方高</v>
      </c>
      <c r="C32" s="20" t="e">
        <f ca="1"/>
        <v>#N/A</v>
      </c>
      <c r="D32" s="26" t="e">
        <f ca="1"/>
        <v>#REF!</v>
      </c>
      <c r="E32" s="27" t="e">
        <f ca="1"/>
        <v>#REF!</v>
      </c>
      <c r="F32" s="28" t="e">
        <f ca="1"/>
        <v>#REF!</v>
      </c>
      <c r="G32" s="27" t="e">
        <f ca="1"/>
        <v>#REF!</v>
      </c>
      <c r="H32" s="28" t="e">
        <f ca="1"/>
        <v>#REF!</v>
      </c>
      <c r="I32" s="27" t="e">
        <f ca="1"/>
        <v>#REF!</v>
      </c>
      <c r="J32" s="28" t="e">
        <f ca="1"/>
        <v>#REF!</v>
      </c>
      <c r="K32" s="27" t="e">
        <f ca="1"/>
        <v>#REF!</v>
      </c>
      <c r="L32" s="28" t="e">
        <f ca="1"/>
        <v>#REF!</v>
      </c>
      <c r="M32" s="27" t="e">
        <f ca="1"/>
        <v>#REF!</v>
      </c>
      <c r="N32" s="28" t="e">
        <f ca="1"/>
        <v>#REF!</v>
      </c>
      <c r="O32" s="20" t="e">
        <f ca="1"/>
        <v>#N/A</v>
      </c>
      <c r="P32" s="20" t="e">
        <f ca="1"/>
        <v>#N/A</v>
      </c>
      <c r="Q32" s="20" t="s">
        <v>5</v>
      </c>
      <c r="R32" s="20" t="s">
        <v>5</v>
      </c>
      <c r="U32" s="20"/>
      <c r="V32" s="20" t="s">
        <v>5</v>
      </c>
      <c r="W32" s="20" t="s">
        <v>5</v>
      </c>
      <c r="X32" s="27" t="s">
        <v>5</v>
      </c>
      <c r="Y32" s="28" t="s">
        <v>5</v>
      </c>
      <c r="Z32" s="27" t="s">
        <v>5</v>
      </c>
      <c r="AA32" s="28" t="s">
        <v>5</v>
      </c>
      <c r="AB32" s="27" t="s">
        <v>5</v>
      </c>
      <c r="AC32" s="27" t="s">
        <v>5</v>
      </c>
      <c r="AD32" s="27" t="s">
        <v>5</v>
      </c>
      <c r="AE32" s="27" t="s">
        <v>5</v>
      </c>
      <c r="AF32" s="27" t="s">
        <v>5</v>
      </c>
      <c r="AG32" s="27" t="s">
        <v>5</v>
      </c>
      <c r="AH32" s="20" t="s">
        <v>5</v>
      </c>
      <c r="AI32" s="20" t="s">
        <v>5</v>
      </c>
      <c r="AJ32" s="20" t="s">
        <v>5</v>
      </c>
      <c r="AK32" s="20" t="s">
        <v>5</v>
      </c>
    </row>
    <row r="33" spans="2:37" ht="12.5">
      <c r="B33" s="20" t="str">
        <f ca="1">IFERROR(__xludf.DUMMYFUNCTION("""COMPUTED_VALUE"""),"松本県ケ丘高")</f>
        <v>松本県ケ丘高</v>
      </c>
      <c r="C33" s="20" t="e">
        <f ca="1"/>
        <v>#N/A</v>
      </c>
      <c r="D33" s="26" t="e">
        <f ca="1"/>
        <v>#REF!</v>
      </c>
      <c r="E33" s="27" t="e">
        <f ca="1"/>
        <v>#REF!</v>
      </c>
      <c r="F33" s="28" t="e">
        <f ca="1"/>
        <v>#REF!</v>
      </c>
      <c r="G33" s="27" t="e">
        <f ca="1"/>
        <v>#REF!</v>
      </c>
      <c r="H33" s="28" t="e">
        <f ca="1"/>
        <v>#REF!</v>
      </c>
      <c r="I33" s="27" t="e">
        <f ca="1"/>
        <v>#REF!</v>
      </c>
      <c r="J33" s="28" t="e">
        <f ca="1"/>
        <v>#REF!</v>
      </c>
      <c r="K33" s="27" t="e">
        <f ca="1"/>
        <v>#REF!</v>
      </c>
      <c r="L33" s="28" t="e">
        <f ca="1"/>
        <v>#REF!</v>
      </c>
      <c r="M33" s="27" t="e">
        <f ca="1"/>
        <v>#REF!</v>
      </c>
      <c r="N33" s="28" t="e">
        <f ca="1"/>
        <v>#REF!</v>
      </c>
      <c r="O33" s="20" t="e">
        <f ca="1"/>
        <v>#N/A</v>
      </c>
      <c r="P33" s="20" t="e">
        <f ca="1"/>
        <v>#N/A</v>
      </c>
      <c r="Q33" s="20" t="s">
        <v>5</v>
      </c>
      <c r="R33" s="20" t="s">
        <v>5</v>
      </c>
      <c r="U33" s="20"/>
      <c r="V33" s="20" t="s">
        <v>5</v>
      </c>
      <c r="W33" s="20" t="s">
        <v>5</v>
      </c>
      <c r="X33" s="27" t="s">
        <v>5</v>
      </c>
      <c r="Y33" s="28" t="s">
        <v>5</v>
      </c>
      <c r="Z33" s="27" t="s">
        <v>5</v>
      </c>
      <c r="AA33" s="28" t="s">
        <v>5</v>
      </c>
      <c r="AB33" s="27" t="s">
        <v>5</v>
      </c>
      <c r="AC33" s="27" t="s">
        <v>5</v>
      </c>
      <c r="AD33" s="27" t="s">
        <v>5</v>
      </c>
      <c r="AE33" s="27" t="s">
        <v>5</v>
      </c>
      <c r="AF33" s="27" t="s">
        <v>5</v>
      </c>
      <c r="AG33" s="27" t="s">
        <v>5</v>
      </c>
      <c r="AH33" s="20" t="s">
        <v>5</v>
      </c>
      <c r="AI33" s="20" t="s">
        <v>5</v>
      </c>
      <c r="AJ33" s="20" t="s">
        <v>5</v>
      </c>
      <c r="AK33" s="20" t="s">
        <v>5</v>
      </c>
    </row>
    <row r="34" spans="2:37" ht="12.5">
      <c r="B34" s="20" t="str">
        <f ca="1">IFERROR(__xludf.DUMMYFUNCTION("""COMPUTED_VALUE"""),"浜松西高")</f>
        <v>浜松西高</v>
      </c>
      <c r="C34" s="20" t="e">
        <f ca="1"/>
        <v>#N/A</v>
      </c>
      <c r="D34" s="26" t="e">
        <f ca="1"/>
        <v>#REF!</v>
      </c>
      <c r="E34" s="27" t="e">
        <f ca="1"/>
        <v>#REF!</v>
      </c>
      <c r="F34" s="28" t="e">
        <f ca="1"/>
        <v>#REF!</v>
      </c>
      <c r="G34" s="27" t="e">
        <f ca="1"/>
        <v>#REF!</v>
      </c>
      <c r="H34" s="28" t="e">
        <f ca="1"/>
        <v>#REF!</v>
      </c>
      <c r="I34" s="27" t="e">
        <f ca="1"/>
        <v>#REF!</v>
      </c>
      <c r="J34" s="28" t="e">
        <f ca="1"/>
        <v>#REF!</v>
      </c>
      <c r="K34" s="27" t="e">
        <f ca="1"/>
        <v>#REF!</v>
      </c>
      <c r="L34" s="28" t="e">
        <f ca="1"/>
        <v>#REF!</v>
      </c>
      <c r="M34" s="27" t="e">
        <f ca="1"/>
        <v>#REF!</v>
      </c>
      <c r="N34" s="28" t="e">
        <f ca="1"/>
        <v>#REF!</v>
      </c>
      <c r="O34" s="20" t="e">
        <f ca="1"/>
        <v>#N/A</v>
      </c>
      <c r="P34" s="20" t="e">
        <f ca="1"/>
        <v>#N/A</v>
      </c>
      <c r="Q34" s="20" t="s">
        <v>5</v>
      </c>
      <c r="R34" s="20" t="s">
        <v>5</v>
      </c>
      <c r="U34" s="20"/>
      <c r="V34" s="20" t="s">
        <v>5</v>
      </c>
      <c r="W34" s="20" t="s">
        <v>5</v>
      </c>
      <c r="X34" s="27" t="s">
        <v>5</v>
      </c>
      <c r="Y34" s="28" t="s">
        <v>5</v>
      </c>
      <c r="Z34" s="27" t="s">
        <v>5</v>
      </c>
      <c r="AA34" s="28" t="s">
        <v>5</v>
      </c>
      <c r="AB34" s="27" t="s">
        <v>5</v>
      </c>
      <c r="AC34" s="27" t="s">
        <v>5</v>
      </c>
      <c r="AD34" s="27" t="s">
        <v>5</v>
      </c>
      <c r="AE34" s="27" t="s">
        <v>5</v>
      </c>
      <c r="AF34" s="27" t="s">
        <v>5</v>
      </c>
      <c r="AG34" s="27" t="s">
        <v>5</v>
      </c>
      <c r="AH34" s="20" t="s">
        <v>5</v>
      </c>
      <c r="AI34" s="20" t="s">
        <v>5</v>
      </c>
      <c r="AJ34" s="20" t="s">
        <v>5</v>
      </c>
      <c r="AK34" s="20" t="s">
        <v>5</v>
      </c>
    </row>
    <row r="35" spans="2:37" ht="12.5">
      <c r="B35" s="20" t="str">
        <f ca="1">IFERROR(__xludf.DUMMYFUNCTION("""COMPUTED_VALUE"""),"富士高")</f>
        <v>富士高</v>
      </c>
      <c r="C35" s="20" t="e">
        <f ca="1"/>
        <v>#N/A</v>
      </c>
      <c r="D35" s="26" t="e">
        <f ca="1"/>
        <v>#REF!</v>
      </c>
      <c r="E35" s="27" t="e">
        <f ca="1"/>
        <v>#REF!</v>
      </c>
      <c r="F35" s="28" t="e">
        <f ca="1"/>
        <v>#REF!</v>
      </c>
      <c r="G35" s="27" t="e">
        <f ca="1"/>
        <v>#REF!</v>
      </c>
      <c r="H35" s="28" t="e">
        <f ca="1"/>
        <v>#REF!</v>
      </c>
      <c r="I35" s="27" t="e">
        <f ca="1"/>
        <v>#REF!</v>
      </c>
      <c r="J35" s="28" t="e">
        <f ca="1"/>
        <v>#REF!</v>
      </c>
      <c r="K35" s="27" t="e">
        <f ca="1"/>
        <v>#REF!</v>
      </c>
      <c r="L35" s="28" t="e">
        <f ca="1"/>
        <v>#REF!</v>
      </c>
      <c r="M35" s="27" t="e">
        <f ca="1"/>
        <v>#REF!</v>
      </c>
      <c r="N35" s="28" t="e">
        <f ca="1"/>
        <v>#REF!</v>
      </c>
      <c r="O35" s="20" t="e">
        <f ca="1"/>
        <v>#N/A</v>
      </c>
      <c r="P35" s="20" t="e">
        <f ca="1"/>
        <v>#N/A</v>
      </c>
      <c r="Q35" s="20" t="s">
        <v>5</v>
      </c>
      <c r="R35" s="20" t="s">
        <v>5</v>
      </c>
      <c r="U35" s="20"/>
      <c r="V35" s="20" t="s">
        <v>5</v>
      </c>
      <c r="W35" s="20" t="s">
        <v>5</v>
      </c>
      <c r="X35" s="27" t="s">
        <v>5</v>
      </c>
      <c r="Y35" s="28" t="s">
        <v>5</v>
      </c>
      <c r="Z35" s="27" t="s">
        <v>5</v>
      </c>
      <c r="AA35" s="28" t="s">
        <v>5</v>
      </c>
      <c r="AB35" s="27" t="s">
        <v>5</v>
      </c>
      <c r="AC35" s="27" t="s">
        <v>5</v>
      </c>
      <c r="AD35" s="27" t="s">
        <v>5</v>
      </c>
      <c r="AE35" s="27" t="s">
        <v>5</v>
      </c>
      <c r="AF35" s="27" t="s">
        <v>5</v>
      </c>
      <c r="AG35" s="27" t="s">
        <v>5</v>
      </c>
      <c r="AH35" s="20" t="s">
        <v>5</v>
      </c>
      <c r="AI35" s="20" t="s">
        <v>5</v>
      </c>
      <c r="AJ35" s="20" t="s">
        <v>5</v>
      </c>
      <c r="AK35" s="20" t="s">
        <v>5</v>
      </c>
    </row>
    <row r="36" spans="2:37" ht="12.5">
      <c r="B36" s="20" t="str">
        <f ca="1">IFERROR(__xludf.DUMMYFUNCTION("""COMPUTED_VALUE"""),"旭丘高")</f>
        <v>旭丘高</v>
      </c>
      <c r="C36" s="20" t="e">
        <f ca="1"/>
        <v>#N/A</v>
      </c>
      <c r="D36" s="26" t="e">
        <f ca="1"/>
        <v>#REF!</v>
      </c>
      <c r="E36" s="27" t="e">
        <f ca="1"/>
        <v>#REF!</v>
      </c>
      <c r="F36" s="28" t="e">
        <f ca="1"/>
        <v>#REF!</v>
      </c>
      <c r="G36" s="27" t="e">
        <f ca="1"/>
        <v>#REF!</v>
      </c>
      <c r="H36" s="28" t="e">
        <f ca="1"/>
        <v>#REF!</v>
      </c>
      <c r="I36" s="27" t="e">
        <f ca="1"/>
        <v>#REF!</v>
      </c>
      <c r="J36" s="28" t="e">
        <f ca="1"/>
        <v>#REF!</v>
      </c>
      <c r="K36" s="27" t="e">
        <f ca="1"/>
        <v>#REF!</v>
      </c>
      <c r="L36" s="28" t="e">
        <f ca="1"/>
        <v>#REF!</v>
      </c>
      <c r="M36" s="27" t="e">
        <f ca="1"/>
        <v>#REF!</v>
      </c>
      <c r="N36" s="28" t="e">
        <f ca="1"/>
        <v>#REF!</v>
      </c>
      <c r="O36" s="20" t="e">
        <f ca="1"/>
        <v>#N/A</v>
      </c>
      <c r="P36" s="20" t="e">
        <f ca="1"/>
        <v>#N/A</v>
      </c>
      <c r="Q36" s="20" t="s">
        <v>5</v>
      </c>
      <c r="R36" s="20" t="s">
        <v>5</v>
      </c>
      <c r="U36" s="20"/>
      <c r="V36" s="20" t="s">
        <v>5</v>
      </c>
      <c r="W36" s="20" t="s">
        <v>5</v>
      </c>
      <c r="X36" s="27" t="s">
        <v>5</v>
      </c>
      <c r="Y36" s="28" t="s">
        <v>5</v>
      </c>
      <c r="Z36" s="27" t="s">
        <v>5</v>
      </c>
      <c r="AA36" s="28" t="s">
        <v>5</v>
      </c>
      <c r="AB36" s="27" t="s">
        <v>5</v>
      </c>
      <c r="AC36" s="27" t="s">
        <v>5</v>
      </c>
      <c r="AD36" s="27" t="s">
        <v>5</v>
      </c>
      <c r="AE36" s="27" t="s">
        <v>5</v>
      </c>
      <c r="AF36" s="27" t="s">
        <v>5</v>
      </c>
      <c r="AG36" s="27" t="s">
        <v>5</v>
      </c>
      <c r="AH36" s="20" t="s">
        <v>5</v>
      </c>
      <c r="AI36" s="20" t="s">
        <v>5</v>
      </c>
      <c r="AJ36" s="20" t="s">
        <v>5</v>
      </c>
      <c r="AK36" s="20" t="s">
        <v>5</v>
      </c>
    </row>
    <row r="37" spans="2:37" ht="12.5">
      <c r="B37" s="20" t="str">
        <f ca="1">IFERROR(__xludf.DUMMYFUNCTION("""COMPUTED_VALUE"""),"守山高")</f>
        <v>守山高</v>
      </c>
      <c r="C37" s="20" t="e">
        <f ca="1"/>
        <v>#N/A</v>
      </c>
      <c r="D37" s="26" t="e">
        <f ca="1"/>
        <v>#REF!</v>
      </c>
      <c r="E37" s="27" t="e">
        <f ca="1"/>
        <v>#REF!</v>
      </c>
      <c r="F37" s="28" t="e">
        <f ca="1"/>
        <v>#REF!</v>
      </c>
      <c r="G37" s="27" t="e">
        <f ca="1"/>
        <v>#REF!</v>
      </c>
      <c r="H37" s="28" t="e">
        <f ca="1"/>
        <v>#REF!</v>
      </c>
      <c r="I37" s="27" t="e">
        <f ca="1"/>
        <v>#REF!</v>
      </c>
      <c r="J37" s="28" t="e">
        <f ca="1"/>
        <v>#REF!</v>
      </c>
      <c r="K37" s="27" t="e">
        <f ca="1"/>
        <v>#REF!</v>
      </c>
      <c r="L37" s="28" t="e">
        <f ca="1"/>
        <v>#REF!</v>
      </c>
      <c r="M37" s="27" t="e">
        <f ca="1"/>
        <v>#REF!</v>
      </c>
      <c r="N37" s="28" t="e">
        <f ca="1"/>
        <v>#REF!</v>
      </c>
      <c r="O37" s="20" t="e">
        <f ca="1"/>
        <v>#N/A</v>
      </c>
      <c r="P37" s="20" t="e">
        <f ca="1"/>
        <v>#N/A</v>
      </c>
      <c r="Q37" s="20" t="s">
        <v>5</v>
      </c>
      <c r="R37" s="20" t="s">
        <v>5</v>
      </c>
      <c r="U37" s="20"/>
      <c r="V37" s="20" t="s">
        <v>5</v>
      </c>
      <c r="W37" s="20" t="s">
        <v>5</v>
      </c>
      <c r="X37" s="27" t="s">
        <v>5</v>
      </c>
      <c r="Y37" s="28" t="s">
        <v>5</v>
      </c>
      <c r="Z37" s="27" t="s">
        <v>5</v>
      </c>
      <c r="AA37" s="28" t="s">
        <v>5</v>
      </c>
      <c r="AB37" s="27" t="s">
        <v>5</v>
      </c>
      <c r="AC37" s="27" t="s">
        <v>5</v>
      </c>
      <c r="AD37" s="27" t="s">
        <v>5</v>
      </c>
      <c r="AE37" s="27" t="s">
        <v>5</v>
      </c>
      <c r="AF37" s="27" t="s">
        <v>5</v>
      </c>
      <c r="AG37" s="27" t="s">
        <v>5</v>
      </c>
      <c r="AH37" s="20" t="s">
        <v>5</v>
      </c>
      <c r="AI37" s="20" t="s">
        <v>5</v>
      </c>
      <c r="AJ37" s="20" t="s">
        <v>5</v>
      </c>
      <c r="AK37" s="20" t="s">
        <v>5</v>
      </c>
    </row>
    <row r="38" spans="2:37" ht="12.5">
      <c r="B38" s="20" t="str">
        <f ca="1">IFERROR(__xludf.DUMMYFUNCTION("""COMPUTED_VALUE"""),"膳所高")</f>
        <v>膳所高</v>
      </c>
      <c r="C38" s="20" t="e">
        <f ca="1"/>
        <v>#N/A</v>
      </c>
      <c r="D38" s="26" t="e">
        <f ca="1"/>
        <v>#REF!</v>
      </c>
      <c r="E38" s="27" t="e">
        <f ca="1"/>
        <v>#REF!</v>
      </c>
      <c r="F38" s="28" t="e">
        <f ca="1"/>
        <v>#REF!</v>
      </c>
      <c r="G38" s="27" t="e">
        <f ca="1"/>
        <v>#REF!</v>
      </c>
      <c r="H38" s="28" t="e">
        <f ca="1"/>
        <v>#REF!</v>
      </c>
      <c r="I38" s="27" t="e">
        <f ca="1"/>
        <v>#REF!</v>
      </c>
      <c r="J38" s="28" t="e">
        <f ca="1"/>
        <v>#REF!</v>
      </c>
      <c r="K38" s="27" t="e">
        <f ca="1"/>
        <v>#REF!</v>
      </c>
      <c r="L38" s="28" t="e">
        <f ca="1"/>
        <v>#REF!</v>
      </c>
      <c r="M38" s="27" t="e">
        <f ca="1"/>
        <v>#REF!</v>
      </c>
      <c r="N38" s="28" t="e">
        <f ca="1"/>
        <v>#REF!</v>
      </c>
      <c r="O38" s="20" t="e">
        <f ca="1"/>
        <v>#N/A</v>
      </c>
      <c r="P38" s="20" t="e">
        <f ca="1"/>
        <v>#N/A</v>
      </c>
      <c r="Q38" s="20" t="s">
        <v>5</v>
      </c>
      <c r="R38" s="20" t="s">
        <v>5</v>
      </c>
      <c r="U38" s="20"/>
      <c r="V38" s="20" t="s">
        <v>5</v>
      </c>
      <c r="W38" s="20" t="s">
        <v>5</v>
      </c>
      <c r="X38" s="27" t="s">
        <v>5</v>
      </c>
      <c r="Y38" s="28" t="s">
        <v>5</v>
      </c>
      <c r="Z38" s="27" t="s">
        <v>5</v>
      </c>
      <c r="AA38" s="28" t="s">
        <v>5</v>
      </c>
      <c r="AB38" s="27" t="s">
        <v>5</v>
      </c>
      <c r="AC38" s="27" t="s">
        <v>5</v>
      </c>
      <c r="AD38" s="27" t="s">
        <v>5</v>
      </c>
      <c r="AE38" s="27" t="s">
        <v>5</v>
      </c>
      <c r="AF38" s="27" t="s">
        <v>5</v>
      </c>
      <c r="AG38" s="27" t="s">
        <v>5</v>
      </c>
      <c r="AH38" s="20" t="s">
        <v>5</v>
      </c>
      <c r="AI38" s="20" t="s">
        <v>5</v>
      </c>
      <c r="AJ38" s="20" t="s">
        <v>5</v>
      </c>
      <c r="AK38" s="20" t="s">
        <v>5</v>
      </c>
    </row>
    <row r="39" spans="2:37" ht="12.5">
      <c r="B39" s="20" t="str">
        <f ca="1">IFERROR(__xludf.DUMMYFUNCTION("""COMPUTED_VALUE"""),"西京高")</f>
        <v>西京高</v>
      </c>
      <c r="C39" s="20" t="e">
        <f ca="1"/>
        <v>#N/A</v>
      </c>
      <c r="D39" s="26" t="e">
        <f ca="1"/>
        <v>#REF!</v>
      </c>
      <c r="E39" s="27" t="e">
        <f ca="1"/>
        <v>#REF!</v>
      </c>
      <c r="F39" s="28" t="e">
        <f ca="1"/>
        <v>#REF!</v>
      </c>
      <c r="G39" s="27" t="e">
        <f ca="1"/>
        <v>#REF!</v>
      </c>
      <c r="H39" s="28" t="e">
        <f ca="1"/>
        <v>#REF!</v>
      </c>
      <c r="I39" s="27" t="e">
        <f ca="1"/>
        <v>#REF!</v>
      </c>
      <c r="J39" s="28" t="e">
        <f ca="1"/>
        <v>#REF!</v>
      </c>
      <c r="K39" s="27" t="e">
        <f ca="1"/>
        <v>#REF!</v>
      </c>
      <c r="L39" s="28" t="e">
        <f ca="1"/>
        <v>#REF!</v>
      </c>
      <c r="M39" s="27" t="e">
        <f ca="1"/>
        <v>#REF!</v>
      </c>
      <c r="N39" s="28" t="e">
        <f ca="1"/>
        <v>#REF!</v>
      </c>
      <c r="O39" s="20" t="e">
        <f ca="1"/>
        <v>#N/A</v>
      </c>
      <c r="P39" s="20" t="e">
        <f ca="1"/>
        <v>#N/A</v>
      </c>
      <c r="Q39" s="20" t="s">
        <v>5</v>
      </c>
      <c r="R39" s="20" t="s">
        <v>5</v>
      </c>
      <c r="U39" s="20"/>
      <c r="V39" s="20" t="s">
        <v>5</v>
      </c>
      <c r="W39" s="20" t="s">
        <v>5</v>
      </c>
      <c r="X39" s="27" t="s">
        <v>5</v>
      </c>
      <c r="Y39" s="28" t="s">
        <v>5</v>
      </c>
      <c r="Z39" s="27" t="s">
        <v>5</v>
      </c>
      <c r="AA39" s="28" t="s">
        <v>5</v>
      </c>
      <c r="AB39" s="27" t="s">
        <v>5</v>
      </c>
      <c r="AC39" s="27" t="s">
        <v>5</v>
      </c>
      <c r="AD39" s="27" t="s">
        <v>5</v>
      </c>
      <c r="AE39" s="27" t="s">
        <v>5</v>
      </c>
      <c r="AF39" s="27" t="s">
        <v>5</v>
      </c>
      <c r="AG39" s="27" t="s">
        <v>5</v>
      </c>
      <c r="AH39" s="20" t="s">
        <v>5</v>
      </c>
      <c r="AI39" s="20" t="s">
        <v>5</v>
      </c>
      <c r="AJ39" s="20" t="s">
        <v>5</v>
      </c>
      <c r="AK39" s="20" t="s">
        <v>5</v>
      </c>
    </row>
    <row r="40" spans="2:37" ht="12.5">
      <c r="B40" s="20" t="str">
        <f ca="1">IFERROR(__xludf.DUMMYFUNCTION("""COMPUTED_VALUE"""),"大谷高")</f>
        <v>大谷高</v>
      </c>
      <c r="C40" s="20" t="e">
        <f ca="1"/>
        <v>#N/A</v>
      </c>
      <c r="D40" s="26" t="e">
        <f ca="1"/>
        <v>#REF!</v>
      </c>
      <c r="E40" s="27" t="e">
        <f ca="1"/>
        <v>#REF!</v>
      </c>
      <c r="F40" s="28" t="e">
        <f ca="1"/>
        <v>#REF!</v>
      </c>
      <c r="G40" s="27" t="e">
        <f ca="1"/>
        <v>#REF!</v>
      </c>
      <c r="H40" s="28" t="e">
        <f ca="1"/>
        <v>#REF!</v>
      </c>
      <c r="I40" s="27" t="e">
        <f ca="1"/>
        <v>#REF!</v>
      </c>
      <c r="J40" s="28" t="e">
        <f ca="1"/>
        <v>#REF!</v>
      </c>
      <c r="K40" s="27" t="e">
        <f ca="1"/>
        <v>#REF!</v>
      </c>
      <c r="L40" s="28" t="e">
        <f ca="1"/>
        <v>#REF!</v>
      </c>
      <c r="M40" s="27" t="e">
        <f ca="1"/>
        <v>#REF!</v>
      </c>
      <c r="N40" s="28" t="e">
        <f ca="1"/>
        <v>#REF!</v>
      </c>
      <c r="O40" s="20" t="e">
        <f ca="1"/>
        <v>#N/A</v>
      </c>
      <c r="P40" s="20" t="e">
        <f ca="1"/>
        <v>#N/A</v>
      </c>
      <c r="Q40" s="20" t="s">
        <v>5</v>
      </c>
      <c r="R40" s="20" t="s">
        <v>5</v>
      </c>
      <c r="U40" s="20"/>
      <c r="V40" s="20" t="s">
        <v>5</v>
      </c>
      <c r="W40" s="20" t="s">
        <v>5</v>
      </c>
      <c r="X40" s="27" t="s">
        <v>5</v>
      </c>
      <c r="Y40" s="28" t="s">
        <v>5</v>
      </c>
      <c r="Z40" s="27" t="s">
        <v>5</v>
      </c>
      <c r="AA40" s="28" t="s">
        <v>5</v>
      </c>
      <c r="AB40" s="27" t="s">
        <v>5</v>
      </c>
      <c r="AC40" s="27" t="s">
        <v>5</v>
      </c>
      <c r="AD40" s="27" t="s">
        <v>5</v>
      </c>
      <c r="AE40" s="27" t="s">
        <v>5</v>
      </c>
      <c r="AF40" s="27" t="s">
        <v>5</v>
      </c>
      <c r="AG40" s="27" t="s">
        <v>5</v>
      </c>
      <c r="AH40" s="20" t="s">
        <v>5</v>
      </c>
      <c r="AI40" s="20" t="s">
        <v>5</v>
      </c>
      <c r="AJ40" s="20" t="s">
        <v>5</v>
      </c>
      <c r="AK40" s="20" t="s">
        <v>5</v>
      </c>
    </row>
    <row r="41" spans="2:37" ht="12.5">
      <c r="B41" s="20" t="str">
        <f ca="1">IFERROR(__xludf.DUMMYFUNCTION("""COMPUTED_VALUE"""),"洛南高")</f>
        <v>洛南高</v>
      </c>
      <c r="C41" s="20" t="e">
        <f ca="1"/>
        <v>#N/A</v>
      </c>
      <c r="D41" s="26" t="e">
        <f ca="1"/>
        <v>#REF!</v>
      </c>
      <c r="E41" s="27" t="e">
        <f ca="1"/>
        <v>#REF!</v>
      </c>
      <c r="F41" s="28" t="e">
        <f ca="1"/>
        <v>#REF!</v>
      </c>
      <c r="G41" s="27" t="e">
        <f ca="1"/>
        <v>#REF!</v>
      </c>
      <c r="H41" s="28" t="e">
        <f ca="1"/>
        <v>#REF!</v>
      </c>
      <c r="I41" s="27" t="e">
        <f ca="1"/>
        <v>#REF!</v>
      </c>
      <c r="J41" s="28" t="e">
        <f ca="1"/>
        <v>#REF!</v>
      </c>
      <c r="K41" s="27" t="e">
        <f ca="1"/>
        <v>#REF!</v>
      </c>
      <c r="L41" s="28" t="e">
        <f ca="1"/>
        <v>#REF!</v>
      </c>
      <c r="M41" s="27" t="e">
        <f ca="1"/>
        <v>#REF!</v>
      </c>
      <c r="N41" s="28" t="e">
        <f ca="1"/>
        <v>#REF!</v>
      </c>
      <c r="O41" s="20" t="e">
        <f ca="1"/>
        <v>#N/A</v>
      </c>
      <c r="P41" s="20" t="e">
        <f ca="1"/>
        <v>#N/A</v>
      </c>
      <c r="Q41" s="20" t="s">
        <v>5</v>
      </c>
      <c r="R41" s="20" t="s">
        <v>5</v>
      </c>
      <c r="U41" s="20"/>
      <c r="V41" s="20" t="s">
        <v>5</v>
      </c>
      <c r="W41" s="20" t="s">
        <v>5</v>
      </c>
      <c r="X41" s="27" t="s">
        <v>5</v>
      </c>
      <c r="Y41" s="28" t="s">
        <v>5</v>
      </c>
      <c r="Z41" s="27" t="s">
        <v>5</v>
      </c>
      <c r="AA41" s="28" t="s">
        <v>5</v>
      </c>
      <c r="AB41" s="27" t="s">
        <v>5</v>
      </c>
      <c r="AC41" s="27" t="s">
        <v>5</v>
      </c>
      <c r="AD41" s="27" t="s">
        <v>5</v>
      </c>
      <c r="AE41" s="27" t="s">
        <v>5</v>
      </c>
      <c r="AF41" s="27" t="s">
        <v>5</v>
      </c>
      <c r="AG41" s="27" t="s">
        <v>5</v>
      </c>
      <c r="AH41" s="20" t="s">
        <v>5</v>
      </c>
      <c r="AI41" s="20" t="s">
        <v>5</v>
      </c>
      <c r="AJ41" s="20" t="s">
        <v>5</v>
      </c>
      <c r="AK41" s="20" t="s">
        <v>5</v>
      </c>
    </row>
    <row r="42" spans="2:37" ht="12.5">
      <c r="B42" s="20" t="str">
        <f ca="1">IFERROR(__xludf.DUMMYFUNCTION("""COMPUTED_VALUE"""),"四天王寺高")</f>
        <v>四天王寺高</v>
      </c>
      <c r="C42" s="20" t="e">
        <f ca="1"/>
        <v>#N/A</v>
      </c>
      <c r="D42" s="26" t="e">
        <f ca="1"/>
        <v>#REF!</v>
      </c>
      <c r="E42" s="27" t="e">
        <f ca="1"/>
        <v>#REF!</v>
      </c>
      <c r="F42" s="28" t="e">
        <f ca="1"/>
        <v>#REF!</v>
      </c>
      <c r="G42" s="27" t="e">
        <f ca="1"/>
        <v>#REF!</v>
      </c>
      <c r="H42" s="28" t="e">
        <f ca="1"/>
        <v>#REF!</v>
      </c>
      <c r="I42" s="27" t="e">
        <f ca="1"/>
        <v>#REF!</v>
      </c>
      <c r="J42" s="28" t="e">
        <f ca="1"/>
        <v>#REF!</v>
      </c>
      <c r="K42" s="27" t="e">
        <f ca="1"/>
        <v>#REF!</v>
      </c>
      <c r="L42" s="28" t="e">
        <f ca="1"/>
        <v>#REF!</v>
      </c>
      <c r="M42" s="27" t="e">
        <f ca="1"/>
        <v>#REF!</v>
      </c>
      <c r="N42" s="28" t="e">
        <f ca="1"/>
        <v>#REF!</v>
      </c>
      <c r="O42" s="20" t="e">
        <f ca="1"/>
        <v>#N/A</v>
      </c>
      <c r="P42" s="20" t="e">
        <f ca="1"/>
        <v>#N/A</v>
      </c>
      <c r="Q42" s="20" t="s">
        <v>5</v>
      </c>
      <c r="R42" s="20" t="s">
        <v>5</v>
      </c>
      <c r="U42" s="20"/>
      <c r="V42" s="20" t="s">
        <v>5</v>
      </c>
      <c r="W42" s="20" t="s">
        <v>5</v>
      </c>
      <c r="X42" s="27" t="s">
        <v>5</v>
      </c>
      <c r="Y42" s="28" t="s">
        <v>5</v>
      </c>
      <c r="Z42" s="27" t="s">
        <v>5</v>
      </c>
      <c r="AA42" s="28" t="s">
        <v>5</v>
      </c>
      <c r="AB42" s="27" t="s">
        <v>5</v>
      </c>
      <c r="AC42" s="27" t="s">
        <v>5</v>
      </c>
      <c r="AD42" s="27" t="s">
        <v>5</v>
      </c>
      <c r="AE42" s="27" t="s">
        <v>5</v>
      </c>
      <c r="AF42" s="27" t="s">
        <v>5</v>
      </c>
      <c r="AG42" s="27" t="s">
        <v>5</v>
      </c>
      <c r="AH42" s="20" t="s">
        <v>5</v>
      </c>
      <c r="AI42" s="20" t="s">
        <v>5</v>
      </c>
      <c r="AJ42" s="20" t="s">
        <v>5</v>
      </c>
      <c r="AK42" s="20" t="s">
        <v>5</v>
      </c>
    </row>
    <row r="43" spans="2:37" ht="12.5">
      <c r="B43" s="20" t="str">
        <f ca="1">IFERROR(__xludf.DUMMYFUNCTION("""COMPUTED_VALUE"""),"飛鳥未来高")</f>
        <v>飛鳥未来高</v>
      </c>
      <c r="C43" s="20" t="e">
        <f ca="1"/>
        <v>#N/A</v>
      </c>
      <c r="D43" s="26" t="e">
        <f ca="1"/>
        <v>#REF!</v>
      </c>
      <c r="E43" s="27" t="e">
        <f ca="1"/>
        <v>#REF!</v>
      </c>
      <c r="F43" s="28" t="e">
        <f ca="1"/>
        <v>#REF!</v>
      </c>
      <c r="G43" s="27" t="e">
        <f ca="1"/>
        <v>#REF!</v>
      </c>
      <c r="H43" s="28" t="e">
        <f ca="1"/>
        <v>#REF!</v>
      </c>
      <c r="I43" s="27" t="e">
        <f ca="1"/>
        <v>#REF!</v>
      </c>
      <c r="J43" s="28" t="e">
        <f ca="1"/>
        <v>#REF!</v>
      </c>
      <c r="K43" s="27" t="e">
        <f ca="1"/>
        <v>#REF!</v>
      </c>
      <c r="L43" s="28" t="e">
        <f ca="1"/>
        <v>#REF!</v>
      </c>
      <c r="M43" s="27" t="e">
        <f ca="1"/>
        <v>#REF!</v>
      </c>
      <c r="N43" s="28" t="e">
        <f ca="1"/>
        <v>#REF!</v>
      </c>
      <c r="O43" s="20" t="e">
        <f ca="1"/>
        <v>#N/A</v>
      </c>
      <c r="P43" s="20" t="e">
        <f ca="1"/>
        <v>#N/A</v>
      </c>
      <c r="Q43" s="20" t="s">
        <v>5</v>
      </c>
      <c r="R43" s="20" t="s">
        <v>5</v>
      </c>
      <c r="U43" s="20"/>
      <c r="V43" s="20" t="s">
        <v>5</v>
      </c>
      <c r="W43" s="20" t="s">
        <v>5</v>
      </c>
      <c r="X43" s="27" t="s">
        <v>5</v>
      </c>
      <c r="Y43" s="28" t="s">
        <v>5</v>
      </c>
      <c r="Z43" s="27" t="s">
        <v>5</v>
      </c>
      <c r="AA43" s="28" t="s">
        <v>5</v>
      </c>
      <c r="AB43" s="27" t="s">
        <v>5</v>
      </c>
      <c r="AC43" s="27" t="s">
        <v>5</v>
      </c>
      <c r="AD43" s="27" t="s">
        <v>5</v>
      </c>
      <c r="AE43" s="27" t="s">
        <v>5</v>
      </c>
      <c r="AF43" s="27" t="s">
        <v>5</v>
      </c>
      <c r="AG43" s="27" t="s">
        <v>5</v>
      </c>
      <c r="AH43" s="20" t="s">
        <v>5</v>
      </c>
      <c r="AI43" s="20" t="s">
        <v>5</v>
      </c>
      <c r="AJ43" s="20" t="s">
        <v>5</v>
      </c>
      <c r="AK43" s="20" t="s">
        <v>5</v>
      </c>
    </row>
    <row r="44" spans="2:37" ht="12.5">
      <c r="B44" s="20" t="str">
        <f ca="1">IFERROR(__xludf.DUMMYFUNCTION("""COMPUTED_VALUE"""),"龍野高")</f>
        <v>龍野高</v>
      </c>
      <c r="C44" s="20" t="e">
        <f ca="1"/>
        <v>#N/A</v>
      </c>
      <c r="D44" s="26" t="e">
        <f ca="1"/>
        <v>#REF!</v>
      </c>
      <c r="E44" s="27" t="e">
        <f ca="1"/>
        <v>#REF!</v>
      </c>
      <c r="F44" s="28" t="e">
        <f ca="1"/>
        <v>#REF!</v>
      </c>
      <c r="G44" s="27" t="e">
        <f ca="1"/>
        <v>#REF!</v>
      </c>
      <c r="H44" s="28" t="e">
        <f ca="1"/>
        <v>#REF!</v>
      </c>
      <c r="I44" s="27" t="e">
        <f ca="1"/>
        <v>#REF!</v>
      </c>
      <c r="J44" s="28" t="e">
        <f ca="1"/>
        <v>#REF!</v>
      </c>
      <c r="K44" s="27" t="e">
        <f ca="1"/>
        <v>#REF!</v>
      </c>
      <c r="L44" s="28" t="e">
        <f ca="1"/>
        <v>#REF!</v>
      </c>
      <c r="M44" s="27" t="e">
        <f ca="1"/>
        <v>#REF!</v>
      </c>
      <c r="N44" s="28" t="e">
        <f ca="1"/>
        <v>#REF!</v>
      </c>
      <c r="O44" s="20" t="e">
        <f ca="1"/>
        <v>#N/A</v>
      </c>
      <c r="P44" s="20" t="e">
        <f ca="1"/>
        <v>#N/A</v>
      </c>
      <c r="Q44" s="20" t="s">
        <v>5</v>
      </c>
      <c r="R44" s="20" t="s">
        <v>5</v>
      </c>
      <c r="U44" s="20"/>
      <c r="V44" s="20" t="s">
        <v>5</v>
      </c>
      <c r="W44" s="20" t="s">
        <v>5</v>
      </c>
      <c r="X44" s="27" t="s">
        <v>5</v>
      </c>
      <c r="Y44" s="28" t="s">
        <v>5</v>
      </c>
      <c r="Z44" s="27" t="s">
        <v>5</v>
      </c>
      <c r="AA44" s="28" t="s">
        <v>5</v>
      </c>
      <c r="AB44" s="27" t="s">
        <v>5</v>
      </c>
      <c r="AC44" s="27" t="s">
        <v>5</v>
      </c>
      <c r="AD44" s="27" t="s">
        <v>5</v>
      </c>
      <c r="AE44" s="27" t="s">
        <v>5</v>
      </c>
      <c r="AF44" s="27" t="s">
        <v>5</v>
      </c>
      <c r="AG44" s="27" t="s">
        <v>5</v>
      </c>
      <c r="AH44" s="20" t="s">
        <v>5</v>
      </c>
      <c r="AI44" s="20" t="s">
        <v>5</v>
      </c>
      <c r="AJ44" s="20" t="s">
        <v>5</v>
      </c>
      <c r="AK44" s="20" t="s">
        <v>5</v>
      </c>
    </row>
    <row r="45" spans="2:37" ht="12.5">
      <c r="B45" s="20" t="str">
        <f ca="1">IFERROR(__xludf.DUMMYFUNCTION("""COMPUTED_VALUE"""),"東大寺学園高")</f>
        <v>東大寺学園高</v>
      </c>
      <c r="C45" s="20" t="e">
        <f ca="1"/>
        <v>#N/A</v>
      </c>
      <c r="D45" s="26" t="e">
        <f ca="1"/>
        <v>#REF!</v>
      </c>
      <c r="E45" s="27" t="e">
        <f ca="1"/>
        <v>#REF!</v>
      </c>
      <c r="F45" s="28" t="e">
        <f ca="1"/>
        <v>#REF!</v>
      </c>
      <c r="G45" s="27" t="e">
        <f ca="1"/>
        <v>#REF!</v>
      </c>
      <c r="H45" s="28" t="e">
        <f ca="1"/>
        <v>#REF!</v>
      </c>
      <c r="I45" s="27" t="e">
        <f ca="1"/>
        <v>#REF!</v>
      </c>
      <c r="J45" s="28" t="e">
        <f ca="1"/>
        <v>#REF!</v>
      </c>
      <c r="K45" s="27" t="e">
        <f ca="1"/>
        <v>#REF!</v>
      </c>
      <c r="L45" s="28" t="e">
        <f ca="1"/>
        <v>#REF!</v>
      </c>
      <c r="M45" s="27" t="e">
        <f ca="1"/>
        <v>#REF!</v>
      </c>
      <c r="N45" s="28" t="e">
        <f ca="1"/>
        <v>#REF!</v>
      </c>
      <c r="O45" s="20" t="e">
        <f ca="1"/>
        <v>#N/A</v>
      </c>
      <c r="P45" s="20" t="e">
        <f ca="1"/>
        <v>#N/A</v>
      </c>
      <c r="Q45" s="20" t="s">
        <v>5</v>
      </c>
      <c r="R45" s="20" t="s">
        <v>5</v>
      </c>
      <c r="U45" s="20"/>
      <c r="V45" s="20" t="s">
        <v>5</v>
      </c>
      <c r="W45" s="20" t="s">
        <v>5</v>
      </c>
      <c r="X45" s="27" t="s">
        <v>5</v>
      </c>
      <c r="Y45" s="28" t="s">
        <v>5</v>
      </c>
      <c r="Z45" s="27" t="s">
        <v>5</v>
      </c>
      <c r="AA45" s="28" t="s">
        <v>5</v>
      </c>
      <c r="AB45" s="27" t="s">
        <v>5</v>
      </c>
      <c r="AC45" s="27" t="s">
        <v>5</v>
      </c>
      <c r="AD45" s="27" t="s">
        <v>5</v>
      </c>
      <c r="AE45" s="27" t="s">
        <v>5</v>
      </c>
      <c r="AF45" s="27" t="s">
        <v>5</v>
      </c>
      <c r="AG45" s="27" t="s">
        <v>5</v>
      </c>
      <c r="AH45" s="20" t="s">
        <v>5</v>
      </c>
      <c r="AI45" s="20" t="s">
        <v>5</v>
      </c>
      <c r="AJ45" s="20" t="s">
        <v>5</v>
      </c>
      <c r="AK45" s="20" t="s">
        <v>5</v>
      </c>
    </row>
    <row r="46" spans="2:37" ht="12.5">
      <c r="B46" s="20" t="str">
        <f ca="1">IFERROR(__xludf.DUMMYFUNCTION("""COMPUTED_VALUE"""),"国際高")</f>
        <v>国際高</v>
      </c>
      <c r="C46" s="20" t="e">
        <f ca="1"/>
        <v>#N/A</v>
      </c>
      <c r="D46" s="26" t="e">
        <f ca="1"/>
        <v>#REF!</v>
      </c>
      <c r="E46" s="27" t="e">
        <f ca="1"/>
        <v>#REF!</v>
      </c>
      <c r="F46" s="28" t="e">
        <f ca="1"/>
        <v>#REF!</v>
      </c>
      <c r="G46" s="27" t="e">
        <f ca="1"/>
        <v>#REF!</v>
      </c>
      <c r="H46" s="28" t="e">
        <f ca="1"/>
        <v>#REF!</v>
      </c>
      <c r="I46" s="27" t="e">
        <f ca="1"/>
        <v>#REF!</v>
      </c>
      <c r="J46" s="28" t="e">
        <f ca="1"/>
        <v>#REF!</v>
      </c>
      <c r="K46" s="27" t="e">
        <f ca="1"/>
        <v>#REF!</v>
      </c>
      <c r="L46" s="28" t="e">
        <f ca="1"/>
        <v>#REF!</v>
      </c>
      <c r="M46" s="27" t="e">
        <f ca="1"/>
        <v>#REF!</v>
      </c>
      <c r="N46" s="28" t="e">
        <f ca="1"/>
        <v>#REF!</v>
      </c>
      <c r="O46" s="20" t="e">
        <f ca="1"/>
        <v>#N/A</v>
      </c>
      <c r="P46" s="20" t="e">
        <f ca="1"/>
        <v>#N/A</v>
      </c>
      <c r="Q46" s="20" t="s">
        <v>5</v>
      </c>
      <c r="R46" s="20" t="s">
        <v>5</v>
      </c>
      <c r="U46" s="20"/>
      <c r="V46" s="20" t="s">
        <v>5</v>
      </c>
      <c r="W46" s="20" t="s">
        <v>5</v>
      </c>
      <c r="X46" s="27" t="s">
        <v>5</v>
      </c>
      <c r="Y46" s="28" t="s">
        <v>5</v>
      </c>
      <c r="Z46" s="27" t="s">
        <v>5</v>
      </c>
      <c r="AA46" s="28" t="s">
        <v>5</v>
      </c>
      <c r="AB46" s="27" t="s">
        <v>5</v>
      </c>
      <c r="AC46" s="27" t="s">
        <v>5</v>
      </c>
      <c r="AD46" s="27" t="s">
        <v>5</v>
      </c>
      <c r="AE46" s="27" t="s">
        <v>5</v>
      </c>
      <c r="AF46" s="27" t="s">
        <v>5</v>
      </c>
      <c r="AG46" s="27" t="s">
        <v>5</v>
      </c>
      <c r="AH46" s="20" t="s">
        <v>5</v>
      </c>
      <c r="AI46" s="20" t="s">
        <v>5</v>
      </c>
      <c r="AJ46" s="20" t="s">
        <v>5</v>
      </c>
      <c r="AK46" s="20" t="s">
        <v>5</v>
      </c>
    </row>
    <row r="47" spans="2:37" ht="12.5">
      <c r="B47" s="20" t="str">
        <f ca="1">IFERROR(__xludf.DUMMYFUNCTION("""COMPUTED_VALUE"""),"松江北高")</f>
        <v>松江北高</v>
      </c>
      <c r="C47" s="20" t="e">
        <f ca="1"/>
        <v>#N/A</v>
      </c>
      <c r="D47" s="26" t="e">
        <f ca="1"/>
        <v>#REF!</v>
      </c>
      <c r="E47" s="27" t="e">
        <f ca="1"/>
        <v>#REF!</v>
      </c>
      <c r="F47" s="28" t="e">
        <f ca="1"/>
        <v>#REF!</v>
      </c>
      <c r="G47" s="27" t="e">
        <f ca="1"/>
        <v>#REF!</v>
      </c>
      <c r="H47" s="28" t="e">
        <f ca="1"/>
        <v>#REF!</v>
      </c>
      <c r="I47" s="27" t="e">
        <f ca="1"/>
        <v>#REF!</v>
      </c>
      <c r="J47" s="28" t="e">
        <f ca="1"/>
        <v>#REF!</v>
      </c>
      <c r="K47" s="27" t="e">
        <f ca="1"/>
        <v>#REF!</v>
      </c>
      <c r="L47" s="28" t="e">
        <f ca="1"/>
        <v>#REF!</v>
      </c>
      <c r="M47" s="27" t="e">
        <f ca="1"/>
        <v>#REF!</v>
      </c>
      <c r="N47" s="28" t="e">
        <f ca="1"/>
        <v>#REF!</v>
      </c>
      <c r="O47" s="20" t="e">
        <f ca="1"/>
        <v>#N/A</v>
      </c>
      <c r="P47" s="20" t="e">
        <f ca="1"/>
        <v>#N/A</v>
      </c>
      <c r="Q47" s="20" t="s">
        <v>5</v>
      </c>
      <c r="R47" s="20" t="s">
        <v>5</v>
      </c>
      <c r="U47" s="20"/>
      <c r="V47" s="20" t="s">
        <v>5</v>
      </c>
      <c r="W47" s="20" t="s">
        <v>5</v>
      </c>
      <c r="X47" s="27" t="s">
        <v>5</v>
      </c>
      <c r="Y47" s="28" t="s">
        <v>5</v>
      </c>
      <c r="Z47" s="27" t="s">
        <v>5</v>
      </c>
      <c r="AA47" s="28" t="s">
        <v>5</v>
      </c>
      <c r="AB47" s="27" t="s">
        <v>5</v>
      </c>
      <c r="AC47" s="27" t="s">
        <v>5</v>
      </c>
      <c r="AD47" s="27" t="s">
        <v>5</v>
      </c>
      <c r="AE47" s="27" t="s">
        <v>5</v>
      </c>
      <c r="AF47" s="27" t="s">
        <v>5</v>
      </c>
      <c r="AG47" s="27" t="s">
        <v>5</v>
      </c>
      <c r="AH47" s="20" t="s">
        <v>5</v>
      </c>
      <c r="AI47" s="20" t="s">
        <v>5</v>
      </c>
      <c r="AJ47" s="20" t="s">
        <v>5</v>
      </c>
      <c r="AK47" s="20" t="s">
        <v>5</v>
      </c>
    </row>
    <row r="48" spans="2:37" ht="12.5">
      <c r="B48" s="20" t="str">
        <f ca="1">IFERROR(__xludf.DUMMYFUNCTION("""COMPUTED_VALUE"""),"祇園北高")</f>
        <v>祇園北高</v>
      </c>
      <c r="C48" s="20" t="e">
        <f ca="1"/>
        <v>#N/A</v>
      </c>
      <c r="D48" s="26" t="e">
        <f ca="1"/>
        <v>#REF!</v>
      </c>
      <c r="E48" s="27" t="e">
        <f ca="1"/>
        <v>#REF!</v>
      </c>
      <c r="F48" s="28" t="e">
        <f ca="1"/>
        <v>#REF!</v>
      </c>
      <c r="G48" s="27" t="e">
        <f ca="1"/>
        <v>#REF!</v>
      </c>
      <c r="H48" s="28" t="e">
        <f ca="1"/>
        <v>#REF!</v>
      </c>
      <c r="I48" s="27" t="e">
        <f ca="1"/>
        <v>#REF!</v>
      </c>
      <c r="J48" s="28" t="e">
        <f ca="1"/>
        <v>#REF!</v>
      </c>
      <c r="K48" s="27" t="e">
        <f ca="1"/>
        <v>#REF!</v>
      </c>
      <c r="L48" s="28" t="e">
        <f ca="1"/>
        <v>#REF!</v>
      </c>
      <c r="M48" s="27" t="e">
        <f ca="1"/>
        <v>#REF!</v>
      </c>
      <c r="N48" s="28" t="e">
        <f ca="1"/>
        <v>#REF!</v>
      </c>
      <c r="O48" s="20" t="e">
        <f ca="1"/>
        <v>#N/A</v>
      </c>
      <c r="P48" s="20" t="e">
        <f ca="1"/>
        <v>#N/A</v>
      </c>
      <c r="Q48" s="20" t="s">
        <v>5</v>
      </c>
      <c r="R48" s="20" t="s">
        <v>5</v>
      </c>
      <c r="U48" s="20"/>
      <c r="V48" s="20" t="s">
        <v>5</v>
      </c>
      <c r="W48" s="20" t="s">
        <v>5</v>
      </c>
      <c r="X48" s="27" t="s">
        <v>5</v>
      </c>
      <c r="Y48" s="28" t="s">
        <v>5</v>
      </c>
      <c r="Z48" s="27" t="s">
        <v>5</v>
      </c>
      <c r="AA48" s="28" t="s">
        <v>5</v>
      </c>
      <c r="AB48" s="27" t="s">
        <v>5</v>
      </c>
      <c r="AC48" s="27" t="s">
        <v>5</v>
      </c>
      <c r="AD48" s="27" t="s">
        <v>5</v>
      </c>
      <c r="AE48" s="27" t="s">
        <v>5</v>
      </c>
      <c r="AF48" s="27" t="s">
        <v>5</v>
      </c>
      <c r="AG48" s="27" t="s">
        <v>5</v>
      </c>
      <c r="AH48" s="20" t="s">
        <v>5</v>
      </c>
      <c r="AI48" s="20" t="s">
        <v>5</v>
      </c>
      <c r="AJ48" s="20" t="s">
        <v>5</v>
      </c>
      <c r="AK48" s="20" t="s">
        <v>5</v>
      </c>
    </row>
    <row r="49" spans="2:37" ht="12.5">
      <c r="B49" s="20" t="str">
        <f ca="1">IFERROR(__xludf.DUMMYFUNCTION("""COMPUTED_VALUE"""),"筑紫女学園高")</f>
        <v>筑紫女学園高</v>
      </c>
      <c r="C49" s="20" t="e">
        <f ca="1"/>
        <v>#N/A</v>
      </c>
      <c r="D49" s="26" t="e">
        <f ca="1"/>
        <v>#REF!</v>
      </c>
      <c r="E49" s="27" t="e">
        <f ca="1"/>
        <v>#REF!</v>
      </c>
      <c r="F49" s="28" t="e">
        <f ca="1"/>
        <v>#REF!</v>
      </c>
      <c r="G49" s="27" t="e">
        <f ca="1"/>
        <v>#REF!</v>
      </c>
      <c r="H49" s="28" t="e">
        <f ca="1"/>
        <v>#REF!</v>
      </c>
      <c r="I49" s="27" t="e">
        <f ca="1"/>
        <v>#REF!</v>
      </c>
      <c r="J49" s="28" t="e">
        <f ca="1"/>
        <v>#REF!</v>
      </c>
      <c r="K49" s="27" t="e">
        <f ca="1"/>
        <v>#REF!</v>
      </c>
      <c r="L49" s="28" t="e">
        <f ca="1"/>
        <v>#REF!</v>
      </c>
      <c r="M49" s="27" t="e">
        <f ca="1"/>
        <v>#REF!</v>
      </c>
      <c r="N49" s="28" t="e">
        <f ca="1"/>
        <v>#REF!</v>
      </c>
      <c r="O49" s="20" t="e">
        <f ca="1"/>
        <v>#N/A</v>
      </c>
      <c r="P49" s="20" t="e">
        <f ca="1"/>
        <v>#N/A</v>
      </c>
      <c r="Q49" s="20" t="s">
        <v>5</v>
      </c>
      <c r="R49" s="20" t="s">
        <v>5</v>
      </c>
      <c r="U49" s="20"/>
      <c r="V49" s="20" t="s">
        <v>5</v>
      </c>
      <c r="W49" s="20" t="s">
        <v>5</v>
      </c>
      <c r="X49" s="27" t="s">
        <v>5</v>
      </c>
      <c r="Y49" s="28" t="s">
        <v>5</v>
      </c>
      <c r="Z49" s="27" t="s">
        <v>5</v>
      </c>
      <c r="AA49" s="28" t="s">
        <v>5</v>
      </c>
      <c r="AB49" s="27" t="s">
        <v>5</v>
      </c>
      <c r="AC49" s="27" t="s">
        <v>5</v>
      </c>
      <c r="AD49" s="27" t="s">
        <v>5</v>
      </c>
      <c r="AE49" s="27" t="s">
        <v>5</v>
      </c>
      <c r="AF49" s="27" t="s">
        <v>5</v>
      </c>
      <c r="AG49" s="27" t="s">
        <v>5</v>
      </c>
      <c r="AH49" s="20" t="s">
        <v>5</v>
      </c>
      <c r="AI49" s="20" t="s">
        <v>5</v>
      </c>
      <c r="AJ49" s="20" t="s">
        <v>5</v>
      </c>
      <c r="AK49" s="20" t="s">
        <v>5</v>
      </c>
    </row>
    <row r="50" spans="2:37" ht="12.5">
      <c r="B50" s="20" t="str">
        <f ca="1">IFERROR(__xludf.DUMMYFUNCTION("""COMPUTED_VALUE"""),"福岡高")</f>
        <v>福岡高</v>
      </c>
      <c r="C50" s="20" t="e">
        <f ca="1"/>
        <v>#N/A</v>
      </c>
      <c r="D50" s="26" t="e">
        <f ca="1"/>
        <v>#REF!</v>
      </c>
      <c r="E50" s="27" t="e">
        <f ca="1"/>
        <v>#REF!</v>
      </c>
      <c r="F50" s="28" t="e">
        <f ca="1"/>
        <v>#REF!</v>
      </c>
      <c r="G50" s="27" t="e">
        <f ca="1"/>
        <v>#REF!</v>
      </c>
      <c r="H50" s="28" t="e">
        <f ca="1"/>
        <v>#REF!</v>
      </c>
      <c r="I50" s="27" t="e">
        <f ca="1"/>
        <v>#REF!</v>
      </c>
      <c r="J50" s="28" t="e">
        <f ca="1"/>
        <v>#REF!</v>
      </c>
      <c r="K50" s="27" t="e">
        <f ca="1"/>
        <v>#REF!</v>
      </c>
      <c r="L50" s="28" t="e">
        <f ca="1"/>
        <v>#REF!</v>
      </c>
      <c r="M50" s="27" t="e">
        <f ca="1"/>
        <v>#REF!</v>
      </c>
      <c r="N50" s="28" t="e">
        <f ca="1"/>
        <v>#REF!</v>
      </c>
      <c r="O50" s="20" t="e">
        <f ca="1"/>
        <v>#N/A</v>
      </c>
      <c r="P50" s="20" t="e">
        <f ca="1"/>
        <v>#N/A</v>
      </c>
      <c r="Q50" s="20" t="s">
        <v>5</v>
      </c>
      <c r="R50" s="20" t="s">
        <v>5</v>
      </c>
      <c r="U50" s="20"/>
      <c r="V50" s="20" t="s">
        <v>5</v>
      </c>
      <c r="W50" s="20" t="s">
        <v>5</v>
      </c>
      <c r="X50" s="27" t="s">
        <v>5</v>
      </c>
      <c r="Y50" s="28" t="s">
        <v>5</v>
      </c>
      <c r="Z50" s="27" t="s">
        <v>5</v>
      </c>
      <c r="AA50" s="28" t="s">
        <v>5</v>
      </c>
      <c r="AB50" s="27" t="s">
        <v>5</v>
      </c>
      <c r="AC50" s="27" t="s">
        <v>5</v>
      </c>
      <c r="AD50" s="27" t="s">
        <v>5</v>
      </c>
      <c r="AE50" s="27" t="s">
        <v>5</v>
      </c>
      <c r="AF50" s="27" t="s">
        <v>5</v>
      </c>
      <c r="AG50" s="27" t="s">
        <v>5</v>
      </c>
      <c r="AH50" s="20" t="s">
        <v>5</v>
      </c>
      <c r="AI50" s="20" t="s">
        <v>5</v>
      </c>
      <c r="AJ50" s="20" t="s">
        <v>5</v>
      </c>
      <c r="AK50" s="20" t="s">
        <v>5</v>
      </c>
    </row>
    <row r="51" spans="2:37" ht="12.5">
      <c r="B51" s="20" t="str">
        <f ca="1">IFERROR(__xludf.DUMMYFUNCTION("""COMPUTED_VALUE"""),"佐賀北高")</f>
        <v>佐賀北高</v>
      </c>
      <c r="C51" s="20" t="e">
        <f ca="1"/>
        <v>#N/A</v>
      </c>
      <c r="D51" s="26" t="e">
        <f ca="1"/>
        <v>#REF!</v>
      </c>
      <c r="E51" s="27" t="e">
        <f ca="1"/>
        <v>#REF!</v>
      </c>
      <c r="F51" s="28" t="e">
        <f ca="1"/>
        <v>#REF!</v>
      </c>
      <c r="G51" s="27" t="e">
        <f ca="1"/>
        <v>#REF!</v>
      </c>
      <c r="H51" s="28" t="e">
        <f ca="1"/>
        <v>#REF!</v>
      </c>
      <c r="I51" s="27" t="e">
        <f ca="1"/>
        <v>#REF!</v>
      </c>
      <c r="J51" s="28" t="e">
        <f ca="1"/>
        <v>#REF!</v>
      </c>
      <c r="K51" s="27" t="e">
        <f ca="1"/>
        <v>#REF!</v>
      </c>
      <c r="L51" s="28" t="e">
        <f ca="1"/>
        <v>#REF!</v>
      </c>
      <c r="M51" s="27" t="e">
        <f ca="1"/>
        <v>#REF!</v>
      </c>
      <c r="N51" s="28" t="e">
        <f ca="1"/>
        <v>#REF!</v>
      </c>
      <c r="O51" s="20" t="e">
        <f ca="1"/>
        <v>#N/A</v>
      </c>
      <c r="P51" s="20" t="e">
        <f ca="1"/>
        <v>#N/A</v>
      </c>
      <c r="Q51" s="20" t="s">
        <v>5</v>
      </c>
      <c r="R51" s="20" t="s">
        <v>5</v>
      </c>
      <c r="U51" s="20"/>
      <c r="V51" s="20" t="s">
        <v>5</v>
      </c>
      <c r="W51" s="20" t="s">
        <v>5</v>
      </c>
      <c r="X51" s="27" t="s">
        <v>5</v>
      </c>
      <c r="Y51" s="28" t="s">
        <v>5</v>
      </c>
      <c r="Z51" s="27" t="s">
        <v>5</v>
      </c>
      <c r="AA51" s="28" t="s">
        <v>5</v>
      </c>
      <c r="AB51" s="27" t="s">
        <v>5</v>
      </c>
      <c r="AC51" s="27" t="s">
        <v>5</v>
      </c>
      <c r="AD51" s="27" t="s">
        <v>5</v>
      </c>
      <c r="AE51" s="27" t="s">
        <v>5</v>
      </c>
      <c r="AF51" s="27" t="s">
        <v>5</v>
      </c>
      <c r="AG51" s="27" t="s">
        <v>5</v>
      </c>
      <c r="AH51" s="20" t="s">
        <v>5</v>
      </c>
      <c r="AI51" s="20" t="s">
        <v>5</v>
      </c>
      <c r="AJ51" s="20" t="s">
        <v>5</v>
      </c>
      <c r="AK51" s="20" t="s">
        <v>5</v>
      </c>
    </row>
    <row r="52" spans="2:37" ht="12.5">
      <c r="B52" s="20" t="str">
        <f ca="1">IFERROR(__xludf.DUMMYFUNCTION("""COMPUTED_VALUE"""),"熊本高")</f>
        <v>熊本高</v>
      </c>
      <c r="C52" s="20" t="e">
        <f ca="1"/>
        <v>#N/A</v>
      </c>
      <c r="D52" s="26" t="e">
        <f ca="1"/>
        <v>#REF!</v>
      </c>
      <c r="E52" s="27" t="e">
        <f ca="1"/>
        <v>#REF!</v>
      </c>
      <c r="F52" s="28" t="e">
        <f ca="1"/>
        <v>#REF!</v>
      </c>
      <c r="G52" s="27" t="e">
        <f ca="1"/>
        <v>#REF!</v>
      </c>
      <c r="H52" s="28" t="e">
        <f ca="1"/>
        <v>#REF!</v>
      </c>
      <c r="I52" s="27" t="e">
        <f ca="1"/>
        <v>#REF!</v>
      </c>
      <c r="J52" s="28" t="e">
        <f ca="1"/>
        <v>#REF!</v>
      </c>
      <c r="K52" s="27" t="e">
        <f ca="1"/>
        <v>#REF!</v>
      </c>
      <c r="L52" s="28" t="e">
        <f ca="1"/>
        <v>#REF!</v>
      </c>
      <c r="M52" s="27" t="e">
        <f ca="1"/>
        <v>#REF!</v>
      </c>
      <c r="N52" s="28" t="e">
        <f ca="1"/>
        <v>#REF!</v>
      </c>
      <c r="O52" s="20" t="e">
        <f ca="1"/>
        <v>#N/A</v>
      </c>
      <c r="P52" s="20" t="e">
        <f ca="1"/>
        <v>#N/A</v>
      </c>
      <c r="Q52" s="20" t="s">
        <v>5</v>
      </c>
      <c r="R52" s="20" t="s">
        <v>5</v>
      </c>
      <c r="U52" s="20"/>
      <c r="V52" s="20" t="s">
        <v>5</v>
      </c>
      <c r="W52" s="20" t="s">
        <v>5</v>
      </c>
      <c r="X52" s="27" t="s">
        <v>5</v>
      </c>
      <c r="Y52" s="28" t="s">
        <v>5</v>
      </c>
      <c r="Z52" s="27" t="s">
        <v>5</v>
      </c>
      <c r="AA52" s="28" t="s">
        <v>5</v>
      </c>
      <c r="AB52" s="27" t="s">
        <v>5</v>
      </c>
      <c r="AC52" s="27" t="s">
        <v>5</v>
      </c>
      <c r="AD52" s="27" t="s">
        <v>5</v>
      </c>
      <c r="AE52" s="27" t="s">
        <v>5</v>
      </c>
      <c r="AF52" s="27" t="s">
        <v>5</v>
      </c>
      <c r="AG52" s="27" t="s">
        <v>5</v>
      </c>
      <c r="AH52" s="20" t="s">
        <v>5</v>
      </c>
      <c r="AI52" s="20" t="s">
        <v>5</v>
      </c>
      <c r="AJ52" s="20" t="s">
        <v>5</v>
      </c>
      <c r="AK52" s="20" t="s">
        <v>5</v>
      </c>
    </row>
    <row r="53" spans="2:37" ht="12.5">
      <c r="B53" s="20" t="str">
        <f ca="1">IFERROR(__xludf.DUMMYFUNCTION("""COMPUTED_VALUE"""),"中津南高")</f>
        <v>中津南高</v>
      </c>
      <c r="C53" s="20" t="e">
        <f ca="1"/>
        <v>#N/A</v>
      </c>
      <c r="D53" s="26" t="e">
        <f ca="1"/>
        <v>#REF!</v>
      </c>
      <c r="E53" s="27" t="e">
        <f ca="1"/>
        <v>#REF!</v>
      </c>
      <c r="F53" s="28" t="e">
        <f ca="1"/>
        <v>#REF!</v>
      </c>
      <c r="G53" s="27" t="e">
        <f ca="1"/>
        <v>#REF!</v>
      </c>
      <c r="H53" s="28" t="e">
        <f ca="1"/>
        <v>#REF!</v>
      </c>
      <c r="I53" s="27" t="e">
        <f ca="1"/>
        <v>#REF!</v>
      </c>
      <c r="J53" s="28" t="e">
        <f ca="1"/>
        <v>#REF!</v>
      </c>
      <c r="K53" s="27" t="e">
        <f ca="1"/>
        <v>#REF!</v>
      </c>
      <c r="L53" s="28" t="e">
        <f ca="1"/>
        <v>#REF!</v>
      </c>
      <c r="M53" s="27" t="e">
        <f ca="1"/>
        <v>#REF!</v>
      </c>
      <c r="N53" s="28" t="e">
        <f ca="1"/>
        <v>#REF!</v>
      </c>
      <c r="O53" s="20" t="e">
        <f ca="1"/>
        <v>#N/A</v>
      </c>
      <c r="P53" s="20" t="e">
        <f ca="1"/>
        <v>#N/A</v>
      </c>
      <c r="Q53" s="20" t="s">
        <v>5</v>
      </c>
      <c r="R53" s="20" t="s">
        <v>5</v>
      </c>
      <c r="U53" s="20"/>
      <c r="V53" s="20" t="s">
        <v>5</v>
      </c>
      <c r="W53" s="20" t="s">
        <v>5</v>
      </c>
      <c r="X53" s="27" t="s">
        <v>5</v>
      </c>
      <c r="Y53" s="28" t="s">
        <v>5</v>
      </c>
      <c r="Z53" s="27" t="s">
        <v>5</v>
      </c>
      <c r="AA53" s="28" t="s">
        <v>5</v>
      </c>
      <c r="AB53" s="27" t="s">
        <v>5</v>
      </c>
      <c r="AC53" s="27" t="s">
        <v>5</v>
      </c>
      <c r="AD53" s="27" t="s">
        <v>5</v>
      </c>
      <c r="AE53" s="27" t="s">
        <v>5</v>
      </c>
      <c r="AF53" s="27" t="s">
        <v>5</v>
      </c>
      <c r="AG53" s="27" t="s">
        <v>5</v>
      </c>
      <c r="AH53" s="20" t="s">
        <v>5</v>
      </c>
      <c r="AI53" s="20" t="s">
        <v>5</v>
      </c>
      <c r="AJ53" s="20" t="s">
        <v>5</v>
      </c>
      <c r="AK53" s="20" t="s">
        <v>5</v>
      </c>
    </row>
    <row r="54" spans="2:37" ht="12.5">
      <c r="B54" s="20" t="str">
        <f ca="1">IFERROR(__xludf.DUMMYFUNCTION("""COMPUTED_VALUE"""),"函館中部高")</f>
        <v>函館中部高</v>
      </c>
      <c r="C54" s="20" t="e">
        <f ca="1"/>
        <v>#N/A</v>
      </c>
      <c r="D54" s="26" t="e">
        <f ca="1"/>
        <v>#REF!</v>
      </c>
      <c r="E54" s="27" t="e">
        <f ca="1"/>
        <v>#REF!</v>
      </c>
      <c r="F54" s="28" t="e">
        <f ca="1"/>
        <v>#REF!</v>
      </c>
      <c r="G54" s="27" t="e">
        <f ca="1"/>
        <v>#REF!</v>
      </c>
      <c r="H54" s="28" t="e">
        <f ca="1"/>
        <v>#REF!</v>
      </c>
      <c r="I54" s="27" t="e">
        <f ca="1"/>
        <v>#REF!</v>
      </c>
      <c r="J54" s="28" t="e">
        <f ca="1"/>
        <v>#REF!</v>
      </c>
      <c r="K54" s="27" t="e">
        <f ca="1"/>
        <v>#REF!</v>
      </c>
      <c r="L54" s="28" t="e">
        <f ca="1"/>
        <v>#REF!</v>
      </c>
      <c r="M54" s="27" t="e">
        <f ca="1"/>
        <v>#REF!</v>
      </c>
      <c r="N54" s="28" t="e">
        <f ca="1"/>
        <v>#REF!</v>
      </c>
      <c r="O54" s="20" t="e">
        <f ca="1"/>
        <v>#N/A</v>
      </c>
      <c r="P54" s="20" t="e">
        <f ca="1"/>
        <v>#N/A</v>
      </c>
      <c r="Q54" s="20" t="s">
        <v>5</v>
      </c>
      <c r="R54" s="20" t="s">
        <v>5</v>
      </c>
      <c r="U54" s="20"/>
      <c r="V54" s="20" t="s">
        <v>5</v>
      </c>
      <c r="W54" s="20" t="s">
        <v>5</v>
      </c>
      <c r="X54" s="27" t="s">
        <v>5</v>
      </c>
      <c r="Y54" s="28" t="s">
        <v>5</v>
      </c>
      <c r="Z54" s="27" t="s">
        <v>5</v>
      </c>
      <c r="AA54" s="28" t="s">
        <v>5</v>
      </c>
      <c r="AB54" s="27" t="s">
        <v>5</v>
      </c>
      <c r="AC54" s="27" t="s">
        <v>5</v>
      </c>
      <c r="AD54" s="27" t="s">
        <v>5</v>
      </c>
      <c r="AE54" s="27" t="s">
        <v>5</v>
      </c>
      <c r="AF54" s="27" t="s">
        <v>5</v>
      </c>
      <c r="AG54" s="27" t="s">
        <v>5</v>
      </c>
      <c r="AH54" s="20" t="s">
        <v>5</v>
      </c>
      <c r="AI54" s="20" t="s">
        <v>5</v>
      </c>
      <c r="AJ54" s="20" t="s">
        <v>5</v>
      </c>
      <c r="AK54" s="20" t="s">
        <v>5</v>
      </c>
    </row>
    <row r="55" spans="2:37" ht="12.5">
      <c r="B55" s="20" t="str">
        <f ca="1">IFERROR(__xludf.DUMMYFUNCTION("""COMPUTED_VALUE"""),"五所川原高")</f>
        <v>五所川原高</v>
      </c>
      <c r="C55" s="20" t="e">
        <f ca="1"/>
        <v>#N/A</v>
      </c>
      <c r="D55" s="26" t="e">
        <f ca="1"/>
        <v>#REF!</v>
      </c>
      <c r="E55" s="27" t="e">
        <f ca="1"/>
        <v>#REF!</v>
      </c>
      <c r="F55" s="28" t="e">
        <f ca="1"/>
        <v>#REF!</v>
      </c>
      <c r="G55" s="27" t="e">
        <f ca="1"/>
        <v>#REF!</v>
      </c>
      <c r="H55" s="28" t="e">
        <f ca="1"/>
        <v>#REF!</v>
      </c>
      <c r="I55" s="27" t="e">
        <f ca="1"/>
        <v>#REF!</v>
      </c>
      <c r="J55" s="28" t="e">
        <f ca="1"/>
        <v>#REF!</v>
      </c>
      <c r="K55" s="27" t="e">
        <f ca="1"/>
        <v>#REF!</v>
      </c>
      <c r="L55" s="28" t="e">
        <f ca="1"/>
        <v>#REF!</v>
      </c>
      <c r="M55" s="27" t="e">
        <f ca="1"/>
        <v>#REF!</v>
      </c>
      <c r="N55" s="28" t="e">
        <f ca="1"/>
        <v>#REF!</v>
      </c>
      <c r="O55" s="20" t="e">
        <f ca="1"/>
        <v>#N/A</v>
      </c>
      <c r="P55" s="20" t="e">
        <f ca="1"/>
        <v>#N/A</v>
      </c>
      <c r="Q55" s="20" t="s">
        <v>5</v>
      </c>
      <c r="R55" s="20" t="s">
        <v>5</v>
      </c>
      <c r="U55" s="20"/>
      <c r="V55" s="20" t="s">
        <v>5</v>
      </c>
      <c r="W55" s="20" t="s">
        <v>5</v>
      </c>
      <c r="X55" s="27" t="s">
        <v>5</v>
      </c>
      <c r="Y55" s="28" t="s">
        <v>5</v>
      </c>
      <c r="Z55" s="27" t="s">
        <v>5</v>
      </c>
      <c r="AA55" s="28" t="s">
        <v>5</v>
      </c>
      <c r="AB55" s="27" t="s">
        <v>5</v>
      </c>
      <c r="AC55" s="27" t="s">
        <v>5</v>
      </c>
      <c r="AD55" s="27" t="s">
        <v>5</v>
      </c>
      <c r="AE55" s="27" t="s">
        <v>5</v>
      </c>
      <c r="AF55" s="27" t="s">
        <v>5</v>
      </c>
      <c r="AG55" s="27" t="s">
        <v>5</v>
      </c>
      <c r="AH55" s="20" t="s">
        <v>5</v>
      </c>
      <c r="AI55" s="20" t="s">
        <v>5</v>
      </c>
      <c r="AJ55" s="20" t="s">
        <v>5</v>
      </c>
      <c r="AK55" s="20" t="s">
        <v>5</v>
      </c>
    </row>
    <row r="56" spans="2:37" ht="12.5">
      <c r="B56" s="20" t="str">
        <f ca="1">IFERROR(__xludf.DUMMYFUNCTION("""COMPUTED_VALUE"""),"仙台第三高")</f>
        <v>仙台第三高</v>
      </c>
      <c r="C56" s="20" t="e">
        <f ca="1"/>
        <v>#N/A</v>
      </c>
      <c r="D56" s="26" t="e">
        <f ca="1"/>
        <v>#REF!</v>
      </c>
      <c r="E56" s="27" t="e">
        <f ca="1"/>
        <v>#REF!</v>
      </c>
      <c r="F56" s="28" t="e">
        <f ca="1"/>
        <v>#REF!</v>
      </c>
      <c r="G56" s="27" t="e">
        <f ca="1"/>
        <v>#REF!</v>
      </c>
      <c r="H56" s="28" t="e">
        <f ca="1"/>
        <v>#REF!</v>
      </c>
      <c r="I56" s="27" t="e">
        <f ca="1"/>
        <v>#REF!</v>
      </c>
      <c r="J56" s="28" t="e">
        <f ca="1"/>
        <v>#REF!</v>
      </c>
      <c r="K56" s="27" t="e">
        <f ca="1"/>
        <v>#REF!</v>
      </c>
      <c r="L56" s="28" t="e">
        <f ca="1"/>
        <v>#REF!</v>
      </c>
      <c r="M56" s="27" t="e">
        <f ca="1"/>
        <v>#REF!</v>
      </c>
      <c r="N56" s="28" t="e">
        <f ca="1"/>
        <v>#REF!</v>
      </c>
      <c r="O56" s="20" t="e">
        <f ca="1"/>
        <v>#N/A</v>
      </c>
      <c r="P56" s="20" t="e">
        <f ca="1"/>
        <v>#N/A</v>
      </c>
      <c r="Q56" s="20" t="s">
        <v>5</v>
      </c>
      <c r="R56" s="20" t="s">
        <v>5</v>
      </c>
      <c r="U56" s="20"/>
      <c r="V56" s="20" t="s">
        <v>5</v>
      </c>
      <c r="W56" s="20" t="s">
        <v>5</v>
      </c>
      <c r="X56" s="27" t="s">
        <v>5</v>
      </c>
      <c r="Y56" s="28" t="s">
        <v>5</v>
      </c>
      <c r="Z56" s="27" t="s">
        <v>5</v>
      </c>
      <c r="AA56" s="28" t="s">
        <v>5</v>
      </c>
      <c r="AB56" s="27" t="s">
        <v>5</v>
      </c>
      <c r="AC56" s="27" t="s">
        <v>5</v>
      </c>
      <c r="AD56" s="27" t="s">
        <v>5</v>
      </c>
      <c r="AE56" s="27" t="s">
        <v>5</v>
      </c>
      <c r="AF56" s="27" t="s">
        <v>5</v>
      </c>
      <c r="AG56" s="27" t="s">
        <v>5</v>
      </c>
      <c r="AH56" s="20" t="s">
        <v>5</v>
      </c>
      <c r="AI56" s="20" t="s">
        <v>5</v>
      </c>
      <c r="AJ56" s="20" t="s">
        <v>5</v>
      </c>
      <c r="AK56" s="20" t="s">
        <v>5</v>
      </c>
    </row>
    <row r="57" spans="2:37" ht="12.5">
      <c r="B57" s="20" t="str">
        <f ca="1">IFERROR(__xludf.DUMMYFUNCTION("""COMPUTED_VALUE"""),"大館鳳鳴高")</f>
        <v>大館鳳鳴高</v>
      </c>
      <c r="C57" s="20" t="e">
        <f ca="1"/>
        <v>#N/A</v>
      </c>
      <c r="D57" s="26" t="e">
        <f ca="1"/>
        <v>#REF!</v>
      </c>
      <c r="E57" s="27" t="e">
        <f ca="1"/>
        <v>#REF!</v>
      </c>
      <c r="F57" s="28" t="e">
        <f ca="1"/>
        <v>#REF!</v>
      </c>
      <c r="G57" s="27" t="e">
        <f ca="1"/>
        <v>#REF!</v>
      </c>
      <c r="H57" s="28" t="e">
        <f ca="1"/>
        <v>#REF!</v>
      </c>
      <c r="I57" s="27" t="e">
        <f ca="1"/>
        <v>#REF!</v>
      </c>
      <c r="J57" s="28" t="e">
        <f ca="1"/>
        <v>#REF!</v>
      </c>
      <c r="K57" s="27" t="e">
        <f ca="1"/>
        <v>#REF!</v>
      </c>
      <c r="L57" s="28" t="e">
        <f ca="1"/>
        <v>#REF!</v>
      </c>
      <c r="M57" s="27" t="e">
        <f ca="1"/>
        <v>#REF!</v>
      </c>
      <c r="N57" s="28" t="e">
        <f ca="1"/>
        <v>#REF!</v>
      </c>
      <c r="O57" s="20" t="e">
        <f ca="1"/>
        <v>#N/A</v>
      </c>
      <c r="P57" s="20" t="e">
        <f ca="1"/>
        <v>#N/A</v>
      </c>
      <c r="Q57" s="20" t="s">
        <v>5</v>
      </c>
      <c r="R57" s="20" t="s">
        <v>5</v>
      </c>
      <c r="U57" s="20"/>
      <c r="V57" s="20" t="s">
        <v>5</v>
      </c>
      <c r="W57" s="20" t="s">
        <v>5</v>
      </c>
      <c r="X57" s="27" t="s">
        <v>5</v>
      </c>
      <c r="Y57" s="28" t="s">
        <v>5</v>
      </c>
      <c r="Z57" s="27" t="s">
        <v>5</v>
      </c>
      <c r="AA57" s="28" t="s">
        <v>5</v>
      </c>
      <c r="AB57" s="27" t="s">
        <v>5</v>
      </c>
      <c r="AC57" s="27" t="s">
        <v>5</v>
      </c>
      <c r="AD57" s="27" t="s">
        <v>5</v>
      </c>
      <c r="AE57" s="27" t="s">
        <v>5</v>
      </c>
      <c r="AF57" s="27" t="s">
        <v>5</v>
      </c>
      <c r="AG57" s="27" t="s">
        <v>5</v>
      </c>
      <c r="AH57" s="20" t="s">
        <v>5</v>
      </c>
      <c r="AI57" s="20" t="s">
        <v>5</v>
      </c>
      <c r="AJ57" s="20" t="s">
        <v>5</v>
      </c>
      <c r="AK57" s="20" t="s">
        <v>5</v>
      </c>
    </row>
    <row r="58" spans="2:37" ht="12.5">
      <c r="B58" s="20" t="str">
        <f ca="1">IFERROR(__xludf.DUMMYFUNCTION("""COMPUTED_VALUE"""),"鉾田第一高")</f>
        <v>鉾田第一高</v>
      </c>
      <c r="C58" s="20" t="e">
        <f ca="1"/>
        <v>#N/A</v>
      </c>
      <c r="D58" s="26" t="e">
        <f ca="1"/>
        <v>#REF!</v>
      </c>
      <c r="E58" s="27" t="e">
        <f ca="1"/>
        <v>#REF!</v>
      </c>
      <c r="F58" s="28" t="e">
        <f ca="1"/>
        <v>#REF!</v>
      </c>
      <c r="G58" s="27" t="e">
        <f ca="1"/>
        <v>#REF!</v>
      </c>
      <c r="H58" s="28" t="e">
        <f ca="1"/>
        <v>#REF!</v>
      </c>
      <c r="I58" s="27" t="e">
        <f ca="1"/>
        <v>#REF!</v>
      </c>
      <c r="J58" s="28" t="e">
        <f ca="1"/>
        <v>#REF!</v>
      </c>
      <c r="K58" s="27" t="e">
        <f ca="1"/>
        <v>#REF!</v>
      </c>
      <c r="L58" s="28" t="e">
        <f ca="1"/>
        <v>#REF!</v>
      </c>
      <c r="M58" s="27" t="e">
        <f ca="1"/>
        <v>#REF!</v>
      </c>
      <c r="N58" s="28" t="e">
        <f ca="1"/>
        <v>#REF!</v>
      </c>
      <c r="O58" s="20" t="e">
        <f ca="1"/>
        <v>#N/A</v>
      </c>
      <c r="P58" s="20" t="e">
        <f ca="1"/>
        <v>#N/A</v>
      </c>
      <c r="Q58" s="20" t="s">
        <v>5</v>
      </c>
      <c r="R58" s="20" t="s">
        <v>5</v>
      </c>
      <c r="U58" s="20"/>
      <c r="V58" s="20" t="s">
        <v>5</v>
      </c>
      <c r="W58" s="20" t="s">
        <v>5</v>
      </c>
      <c r="X58" s="27" t="s">
        <v>5</v>
      </c>
      <c r="Y58" s="28" t="s">
        <v>5</v>
      </c>
      <c r="Z58" s="27" t="s">
        <v>5</v>
      </c>
      <c r="AA58" s="28" t="s">
        <v>5</v>
      </c>
      <c r="AB58" s="27" t="s">
        <v>5</v>
      </c>
      <c r="AC58" s="27" t="s">
        <v>5</v>
      </c>
      <c r="AD58" s="27" t="s">
        <v>5</v>
      </c>
      <c r="AE58" s="27" t="s">
        <v>5</v>
      </c>
      <c r="AF58" s="27" t="s">
        <v>5</v>
      </c>
      <c r="AG58" s="27" t="s">
        <v>5</v>
      </c>
      <c r="AH58" s="20" t="s">
        <v>5</v>
      </c>
      <c r="AI58" s="20" t="s">
        <v>5</v>
      </c>
      <c r="AJ58" s="20" t="s">
        <v>5</v>
      </c>
      <c r="AK58" s="20" t="s">
        <v>5</v>
      </c>
    </row>
    <row r="59" spans="2:37" ht="12.5">
      <c r="B59" s="20" t="str">
        <f ca="1">IFERROR(__xludf.DUMMYFUNCTION("""COMPUTED_VALUE"""),"宇都宮高")</f>
        <v>宇都宮高</v>
      </c>
      <c r="C59" s="20" t="e">
        <f ca="1"/>
        <v>#N/A</v>
      </c>
      <c r="D59" s="26" t="e">
        <f ca="1"/>
        <v>#REF!</v>
      </c>
      <c r="E59" s="27" t="e">
        <f ca="1"/>
        <v>#REF!</v>
      </c>
      <c r="F59" s="28" t="e">
        <f ca="1"/>
        <v>#REF!</v>
      </c>
      <c r="G59" s="27" t="e">
        <f ca="1"/>
        <v>#REF!</v>
      </c>
      <c r="H59" s="28" t="e">
        <f ca="1"/>
        <v>#REF!</v>
      </c>
      <c r="I59" s="27" t="e">
        <f ca="1"/>
        <v>#REF!</v>
      </c>
      <c r="J59" s="28" t="e">
        <f ca="1"/>
        <v>#REF!</v>
      </c>
      <c r="K59" s="27" t="e">
        <f ca="1"/>
        <v>#REF!</v>
      </c>
      <c r="L59" s="28" t="e">
        <f ca="1"/>
        <v>#REF!</v>
      </c>
      <c r="M59" s="27" t="e">
        <f ca="1"/>
        <v>#REF!</v>
      </c>
      <c r="N59" s="28" t="e">
        <f ca="1"/>
        <v>#REF!</v>
      </c>
      <c r="O59" s="20" t="e">
        <f ca="1"/>
        <v>#N/A</v>
      </c>
      <c r="P59" s="20" t="e">
        <f ca="1"/>
        <v>#N/A</v>
      </c>
      <c r="Q59" s="20" t="s">
        <v>5</v>
      </c>
      <c r="R59" s="20" t="s">
        <v>5</v>
      </c>
      <c r="U59" s="20"/>
      <c r="V59" s="20" t="s">
        <v>5</v>
      </c>
      <c r="W59" s="20" t="s">
        <v>5</v>
      </c>
      <c r="X59" s="27" t="s">
        <v>5</v>
      </c>
      <c r="Y59" s="28" t="s">
        <v>5</v>
      </c>
      <c r="Z59" s="27" t="s">
        <v>5</v>
      </c>
      <c r="AA59" s="28" t="s">
        <v>5</v>
      </c>
      <c r="AB59" s="27" t="s">
        <v>5</v>
      </c>
      <c r="AC59" s="27" t="s">
        <v>5</v>
      </c>
      <c r="AD59" s="27" t="s">
        <v>5</v>
      </c>
      <c r="AE59" s="27" t="s">
        <v>5</v>
      </c>
      <c r="AF59" s="27" t="s">
        <v>5</v>
      </c>
      <c r="AG59" s="27" t="s">
        <v>5</v>
      </c>
      <c r="AH59" s="20" t="s">
        <v>5</v>
      </c>
      <c r="AI59" s="20" t="s">
        <v>5</v>
      </c>
      <c r="AJ59" s="20" t="s">
        <v>5</v>
      </c>
      <c r="AK59" s="20" t="s">
        <v>5</v>
      </c>
    </row>
    <row r="60" spans="2:37" ht="12.5">
      <c r="B60" s="20" t="str">
        <f ca="1">IFERROR(__xludf.DUMMYFUNCTION("""COMPUTED_VALUE"""),"宇都宮女子高")</f>
        <v>宇都宮女子高</v>
      </c>
      <c r="C60" s="20" t="e">
        <f ca="1"/>
        <v>#N/A</v>
      </c>
      <c r="D60" s="26" t="e">
        <f ca="1"/>
        <v>#REF!</v>
      </c>
      <c r="E60" s="27" t="e">
        <f ca="1"/>
        <v>#REF!</v>
      </c>
      <c r="F60" s="28" t="e">
        <f ca="1"/>
        <v>#REF!</v>
      </c>
      <c r="G60" s="27" t="e">
        <f ca="1"/>
        <v>#REF!</v>
      </c>
      <c r="H60" s="28" t="e">
        <f ca="1"/>
        <v>#REF!</v>
      </c>
      <c r="I60" s="27" t="e">
        <f ca="1"/>
        <v>#REF!</v>
      </c>
      <c r="J60" s="28" t="e">
        <f ca="1"/>
        <v>#REF!</v>
      </c>
      <c r="K60" s="27" t="e">
        <f ca="1"/>
        <v>#REF!</v>
      </c>
      <c r="L60" s="28" t="e">
        <f ca="1"/>
        <v>#REF!</v>
      </c>
      <c r="M60" s="27" t="e">
        <f ca="1"/>
        <v>#REF!</v>
      </c>
      <c r="N60" s="28" t="e">
        <f ca="1"/>
        <v>#REF!</v>
      </c>
      <c r="O60" s="20" t="e">
        <f ca="1"/>
        <v>#N/A</v>
      </c>
      <c r="P60" s="20" t="e">
        <f ca="1"/>
        <v>#N/A</v>
      </c>
      <c r="Q60" s="20" t="s">
        <v>5</v>
      </c>
      <c r="R60" s="20" t="s">
        <v>5</v>
      </c>
      <c r="U60" s="20"/>
      <c r="V60" s="20" t="s">
        <v>5</v>
      </c>
      <c r="W60" s="20" t="s">
        <v>5</v>
      </c>
      <c r="X60" s="27" t="s">
        <v>5</v>
      </c>
      <c r="Y60" s="28" t="s">
        <v>5</v>
      </c>
      <c r="Z60" s="27" t="s">
        <v>5</v>
      </c>
      <c r="AA60" s="28" t="s">
        <v>5</v>
      </c>
      <c r="AB60" s="27" t="s">
        <v>5</v>
      </c>
      <c r="AC60" s="27" t="s">
        <v>5</v>
      </c>
      <c r="AD60" s="27" t="s">
        <v>5</v>
      </c>
      <c r="AE60" s="27" t="s">
        <v>5</v>
      </c>
      <c r="AF60" s="27" t="s">
        <v>5</v>
      </c>
      <c r="AG60" s="27" t="s">
        <v>5</v>
      </c>
      <c r="AH60" s="20" t="s">
        <v>5</v>
      </c>
      <c r="AI60" s="20" t="s">
        <v>5</v>
      </c>
      <c r="AJ60" s="20" t="s">
        <v>5</v>
      </c>
      <c r="AK60" s="20" t="s">
        <v>5</v>
      </c>
    </row>
    <row r="61" spans="2:37" ht="12.5">
      <c r="B61" s="20" t="str">
        <f ca="1">IFERROR(__xludf.DUMMYFUNCTION("""COMPUTED_VALUE"""),"宇都宮北高")</f>
        <v>宇都宮北高</v>
      </c>
      <c r="C61" s="20" t="e">
        <f ca="1"/>
        <v>#N/A</v>
      </c>
      <c r="D61" s="26" t="e">
        <f ca="1"/>
        <v>#REF!</v>
      </c>
      <c r="E61" s="27" t="e">
        <f ca="1"/>
        <v>#REF!</v>
      </c>
      <c r="F61" s="28" t="e">
        <f ca="1"/>
        <v>#REF!</v>
      </c>
      <c r="G61" s="27" t="e">
        <f ca="1"/>
        <v>#REF!</v>
      </c>
      <c r="H61" s="28" t="e">
        <f ca="1"/>
        <v>#REF!</v>
      </c>
      <c r="I61" s="27" t="e">
        <f ca="1"/>
        <v>#REF!</v>
      </c>
      <c r="J61" s="28" t="e">
        <f ca="1"/>
        <v>#REF!</v>
      </c>
      <c r="K61" s="27" t="e">
        <f ca="1"/>
        <v>#REF!</v>
      </c>
      <c r="L61" s="28" t="e">
        <f ca="1"/>
        <v>#REF!</v>
      </c>
      <c r="M61" s="27" t="e">
        <f ca="1"/>
        <v>#REF!</v>
      </c>
      <c r="N61" s="28" t="e">
        <f ca="1"/>
        <v>#REF!</v>
      </c>
      <c r="O61" s="20" t="e">
        <f ca="1"/>
        <v>#N/A</v>
      </c>
      <c r="P61" s="20" t="e">
        <f ca="1"/>
        <v>#N/A</v>
      </c>
      <c r="Q61" s="20" t="s">
        <v>5</v>
      </c>
      <c r="R61" s="20" t="s">
        <v>5</v>
      </c>
      <c r="U61" s="20"/>
      <c r="V61" s="20" t="s">
        <v>5</v>
      </c>
      <c r="W61" s="20" t="s">
        <v>5</v>
      </c>
      <c r="X61" s="27" t="s">
        <v>5</v>
      </c>
      <c r="Y61" s="28" t="s">
        <v>5</v>
      </c>
      <c r="Z61" s="27" t="s">
        <v>5</v>
      </c>
      <c r="AA61" s="28" t="s">
        <v>5</v>
      </c>
      <c r="AB61" s="27" t="s">
        <v>5</v>
      </c>
      <c r="AC61" s="27" t="s">
        <v>5</v>
      </c>
      <c r="AD61" s="27" t="s">
        <v>5</v>
      </c>
      <c r="AE61" s="27" t="s">
        <v>5</v>
      </c>
      <c r="AF61" s="27" t="s">
        <v>5</v>
      </c>
      <c r="AG61" s="27" t="s">
        <v>5</v>
      </c>
      <c r="AH61" s="20" t="s">
        <v>5</v>
      </c>
      <c r="AI61" s="20" t="s">
        <v>5</v>
      </c>
      <c r="AJ61" s="20" t="s">
        <v>5</v>
      </c>
      <c r="AK61" s="20" t="s">
        <v>5</v>
      </c>
    </row>
    <row r="62" spans="2:37" ht="12.5">
      <c r="B62" s="20" t="str">
        <f ca="1">IFERROR(__xludf.DUMMYFUNCTION("""COMPUTED_VALUE"""),"千葉高")</f>
        <v>千葉高</v>
      </c>
      <c r="C62" s="20" t="e">
        <f ca="1"/>
        <v>#N/A</v>
      </c>
      <c r="D62" s="26" t="e">
        <f ca="1"/>
        <v>#REF!</v>
      </c>
      <c r="E62" s="27" t="e">
        <f ca="1"/>
        <v>#REF!</v>
      </c>
      <c r="F62" s="28" t="e">
        <f ca="1"/>
        <v>#REF!</v>
      </c>
      <c r="G62" s="27" t="e">
        <f ca="1"/>
        <v>#REF!</v>
      </c>
      <c r="H62" s="28" t="e">
        <f ca="1"/>
        <v>#REF!</v>
      </c>
      <c r="I62" s="27" t="e">
        <f ca="1"/>
        <v>#REF!</v>
      </c>
      <c r="J62" s="28" t="e">
        <f ca="1"/>
        <v>#REF!</v>
      </c>
      <c r="K62" s="27" t="e">
        <f ca="1"/>
        <v>#REF!</v>
      </c>
      <c r="L62" s="28" t="e">
        <f ca="1"/>
        <v>#REF!</v>
      </c>
      <c r="M62" s="27" t="e">
        <f ca="1"/>
        <v>#REF!</v>
      </c>
      <c r="N62" s="28" t="e">
        <f ca="1"/>
        <v>#REF!</v>
      </c>
      <c r="O62" s="20" t="e">
        <f ca="1"/>
        <v>#N/A</v>
      </c>
      <c r="P62" s="20" t="e">
        <f ca="1"/>
        <v>#N/A</v>
      </c>
      <c r="Q62" s="20" t="s">
        <v>5</v>
      </c>
      <c r="R62" s="20" t="s">
        <v>5</v>
      </c>
      <c r="U62" s="20"/>
      <c r="V62" s="20" t="s">
        <v>5</v>
      </c>
      <c r="W62" s="20" t="s">
        <v>5</v>
      </c>
      <c r="X62" s="27" t="s">
        <v>5</v>
      </c>
      <c r="Y62" s="28" t="s">
        <v>5</v>
      </c>
      <c r="Z62" s="27" t="s">
        <v>5</v>
      </c>
      <c r="AA62" s="28" t="s">
        <v>5</v>
      </c>
      <c r="AB62" s="27" t="s">
        <v>5</v>
      </c>
      <c r="AC62" s="27" t="s">
        <v>5</v>
      </c>
      <c r="AD62" s="27" t="s">
        <v>5</v>
      </c>
      <c r="AE62" s="27" t="s">
        <v>5</v>
      </c>
      <c r="AF62" s="27" t="s">
        <v>5</v>
      </c>
      <c r="AG62" s="27" t="s">
        <v>5</v>
      </c>
      <c r="AH62" s="20" t="s">
        <v>5</v>
      </c>
      <c r="AI62" s="20" t="s">
        <v>5</v>
      </c>
      <c r="AJ62" s="20" t="s">
        <v>5</v>
      </c>
      <c r="AK62" s="20" t="s">
        <v>5</v>
      </c>
    </row>
    <row r="63" spans="2:37" ht="12.5">
      <c r="B63" s="20" t="str">
        <f ca="1">IFERROR(__xludf.DUMMYFUNCTION("""COMPUTED_VALUE"""),"学習院女子")</f>
        <v>学習院女子</v>
      </c>
      <c r="C63" s="20" t="e">
        <f ca="1"/>
        <v>#N/A</v>
      </c>
      <c r="D63" s="26" t="e">
        <f ca="1"/>
        <v>#REF!</v>
      </c>
      <c r="E63" s="27" t="e">
        <f ca="1"/>
        <v>#REF!</v>
      </c>
      <c r="F63" s="28" t="e">
        <f ca="1"/>
        <v>#REF!</v>
      </c>
      <c r="G63" s="27" t="e">
        <f ca="1"/>
        <v>#REF!</v>
      </c>
      <c r="H63" s="28" t="e">
        <f ca="1"/>
        <v>#REF!</v>
      </c>
      <c r="I63" s="27" t="e">
        <f ca="1"/>
        <v>#REF!</v>
      </c>
      <c r="J63" s="28" t="e">
        <f ca="1"/>
        <v>#REF!</v>
      </c>
      <c r="K63" s="27" t="e">
        <f ca="1"/>
        <v>#REF!</v>
      </c>
      <c r="L63" s="28" t="e">
        <f ca="1"/>
        <v>#REF!</v>
      </c>
      <c r="M63" s="27" t="e">
        <f ca="1"/>
        <v>#REF!</v>
      </c>
      <c r="N63" s="28" t="e">
        <f ca="1"/>
        <v>#REF!</v>
      </c>
      <c r="O63" s="20" t="e">
        <f ca="1"/>
        <v>#N/A</v>
      </c>
      <c r="P63" s="20" t="e">
        <f ca="1"/>
        <v>#N/A</v>
      </c>
      <c r="Q63" s="20" t="s">
        <v>5</v>
      </c>
      <c r="R63" s="20" t="s">
        <v>5</v>
      </c>
      <c r="U63" s="20"/>
      <c r="V63" s="20" t="s">
        <v>5</v>
      </c>
      <c r="W63" s="20" t="s">
        <v>5</v>
      </c>
      <c r="X63" s="27" t="s">
        <v>5</v>
      </c>
      <c r="Y63" s="28" t="s">
        <v>5</v>
      </c>
      <c r="Z63" s="27" t="s">
        <v>5</v>
      </c>
      <c r="AA63" s="28" t="s">
        <v>5</v>
      </c>
      <c r="AB63" s="27" t="s">
        <v>5</v>
      </c>
      <c r="AC63" s="27" t="s">
        <v>5</v>
      </c>
      <c r="AD63" s="27" t="s">
        <v>5</v>
      </c>
      <c r="AE63" s="27" t="s">
        <v>5</v>
      </c>
      <c r="AF63" s="27" t="s">
        <v>5</v>
      </c>
      <c r="AG63" s="27" t="s">
        <v>5</v>
      </c>
      <c r="AH63" s="20" t="s">
        <v>5</v>
      </c>
      <c r="AI63" s="20" t="s">
        <v>5</v>
      </c>
      <c r="AJ63" s="20" t="s">
        <v>5</v>
      </c>
      <c r="AK63" s="20" t="s">
        <v>5</v>
      </c>
    </row>
    <row r="64" spans="2:37" ht="12.5">
      <c r="B64" s="20" t="str">
        <f ca="1">IFERROR(__xludf.DUMMYFUNCTION("""COMPUTED_VALUE"""),"共立女子高")</f>
        <v>共立女子高</v>
      </c>
      <c r="C64" s="20" t="e">
        <f ca="1"/>
        <v>#N/A</v>
      </c>
      <c r="D64" s="26" t="e">
        <f ca="1"/>
        <v>#REF!</v>
      </c>
      <c r="E64" s="27" t="e">
        <f ca="1"/>
        <v>#REF!</v>
      </c>
      <c r="F64" s="28" t="e">
        <f ca="1"/>
        <v>#REF!</v>
      </c>
      <c r="G64" s="27" t="e">
        <f ca="1"/>
        <v>#REF!</v>
      </c>
      <c r="H64" s="28" t="e">
        <f ca="1"/>
        <v>#REF!</v>
      </c>
      <c r="I64" s="27" t="e">
        <f ca="1"/>
        <v>#REF!</v>
      </c>
      <c r="J64" s="28" t="e">
        <f ca="1"/>
        <v>#REF!</v>
      </c>
      <c r="K64" s="27" t="e">
        <f ca="1"/>
        <v>#REF!</v>
      </c>
      <c r="L64" s="28" t="e">
        <f ca="1"/>
        <v>#REF!</v>
      </c>
      <c r="M64" s="27" t="e">
        <f ca="1"/>
        <v>#REF!</v>
      </c>
      <c r="N64" s="28" t="e">
        <f ca="1"/>
        <v>#REF!</v>
      </c>
      <c r="O64" s="20" t="e">
        <f ca="1"/>
        <v>#N/A</v>
      </c>
      <c r="P64" s="20" t="e">
        <f ca="1"/>
        <v>#N/A</v>
      </c>
      <c r="Q64" s="20" t="s">
        <v>5</v>
      </c>
      <c r="R64" s="20" t="s">
        <v>5</v>
      </c>
      <c r="U64" s="20"/>
      <c r="V64" s="20" t="s">
        <v>5</v>
      </c>
      <c r="W64" s="20" t="s">
        <v>5</v>
      </c>
      <c r="X64" s="27" t="s">
        <v>5</v>
      </c>
      <c r="Y64" s="28" t="s">
        <v>5</v>
      </c>
      <c r="Z64" s="27" t="s">
        <v>5</v>
      </c>
      <c r="AA64" s="28" t="s">
        <v>5</v>
      </c>
      <c r="AB64" s="27" t="s">
        <v>5</v>
      </c>
      <c r="AC64" s="27" t="s">
        <v>5</v>
      </c>
      <c r="AD64" s="27" t="s">
        <v>5</v>
      </c>
      <c r="AE64" s="27" t="s">
        <v>5</v>
      </c>
      <c r="AF64" s="27" t="s">
        <v>5</v>
      </c>
      <c r="AG64" s="27" t="s">
        <v>5</v>
      </c>
      <c r="AH64" s="20" t="s">
        <v>5</v>
      </c>
      <c r="AI64" s="20" t="s">
        <v>5</v>
      </c>
      <c r="AJ64" s="20" t="s">
        <v>5</v>
      </c>
      <c r="AK64" s="20" t="s">
        <v>5</v>
      </c>
    </row>
    <row r="65" spans="2:37" ht="12.5">
      <c r="B65" s="20" t="str">
        <f ca="1">IFERROR(__xludf.DUMMYFUNCTION("""COMPUTED_VALUE"""),"桜蔭高")</f>
        <v>桜蔭高</v>
      </c>
      <c r="C65" s="20" t="e">
        <f ca="1"/>
        <v>#N/A</v>
      </c>
      <c r="D65" s="26" t="e">
        <f ca="1"/>
        <v>#REF!</v>
      </c>
      <c r="E65" s="27" t="e">
        <f ca="1"/>
        <v>#REF!</v>
      </c>
      <c r="F65" s="28" t="e">
        <f ca="1"/>
        <v>#REF!</v>
      </c>
      <c r="G65" s="27" t="e">
        <f ca="1"/>
        <v>#REF!</v>
      </c>
      <c r="H65" s="28" t="e">
        <f ca="1"/>
        <v>#REF!</v>
      </c>
      <c r="I65" s="27" t="e">
        <f ca="1"/>
        <v>#REF!</v>
      </c>
      <c r="J65" s="28" t="e">
        <f ca="1"/>
        <v>#REF!</v>
      </c>
      <c r="K65" s="27" t="e">
        <f ca="1"/>
        <v>#REF!</v>
      </c>
      <c r="L65" s="28" t="e">
        <f ca="1"/>
        <v>#REF!</v>
      </c>
      <c r="M65" s="27" t="e">
        <f ca="1"/>
        <v>#REF!</v>
      </c>
      <c r="N65" s="28" t="e">
        <f ca="1"/>
        <v>#REF!</v>
      </c>
      <c r="O65" s="20" t="e">
        <f ca="1"/>
        <v>#N/A</v>
      </c>
      <c r="P65" s="20" t="e">
        <f ca="1"/>
        <v>#N/A</v>
      </c>
      <c r="Q65" s="20" t="s">
        <v>5</v>
      </c>
      <c r="R65" s="20" t="s">
        <v>5</v>
      </c>
      <c r="U65" s="20"/>
      <c r="V65" s="20" t="s">
        <v>5</v>
      </c>
      <c r="W65" s="20" t="s">
        <v>5</v>
      </c>
      <c r="X65" s="27" t="s">
        <v>5</v>
      </c>
      <c r="Y65" s="28" t="s">
        <v>5</v>
      </c>
      <c r="Z65" s="27" t="s">
        <v>5</v>
      </c>
      <c r="AA65" s="28" t="s">
        <v>5</v>
      </c>
      <c r="AB65" s="27" t="s">
        <v>5</v>
      </c>
      <c r="AC65" s="27" t="s">
        <v>5</v>
      </c>
      <c r="AD65" s="27" t="s">
        <v>5</v>
      </c>
      <c r="AE65" s="27" t="s">
        <v>5</v>
      </c>
      <c r="AF65" s="27" t="s">
        <v>5</v>
      </c>
      <c r="AG65" s="27" t="s">
        <v>5</v>
      </c>
      <c r="AH65" s="20" t="s">
        <v>5</v>
      </c>
      <c r="AI65" s="20" t="s">
        <v>5</v>
      </c>
      <c r="AJ65" s="20" t="s">
        <v>5</v>
      </c>
      <c r="AK65" s="20" t="s">
        <v>5</v>
      </c>
    </row>
    <row r="66" spans="2:37" ht="12.5">
      <c r="B66" s="20" t="str">
        <f ca="1">IFERROR(__xludf.DUMMYFUNCTION("""COMPUTED_VALUE"""),"青稜高")</f>
        <v>青稜高</v>
      </c>
      <c r="C66" s="20" t="e">
        <f ca="1"/>
        <v>#N/A</v>
      </c>
      <c r="D66" s="26" t="e">
        <f ca="1"/>
        <v>#REF!</v>
      </c>
      <c r="E66" s="27" t="e">
        <f ca="1"/>
        <v>#REF!</v>
      </c>
      <c r="F66" s="28" t="e">
        <f ca="1"/>
        <v>#REF!</v>
      </c>
      <c r="G66" s="27" t="e">
        <f ca="1"/>
        <v>#REF!</v>
      </c>
      <c r="H66" s="28" t="e">
        <f ca="1"/>
        <v>#REF!</v>
      </c>
      <c r="I66" s="27" t="e">
        <f ca="1"/>
        <v>#REF!</v>
      </c>
      <c r="J66" s="28" t="e">
        <f ca="1"/>
        <v>#REF!</v>
      </c>
      <c r="K66" s="27" t="e">
        <f ca="1"/>
        <v>#REF!</v>
      </c>
      <c r="L66" s="28" t="e">
        <f ca="1"/>
        <v>#REF!</v>
      </c>
      <c r="M66" s="27" t="e">
        <f ca="1"/>
        <v>#REF!</v>
      </c>
      <c r="N66" s="28" t="e">
        <f ca="1"/>
        <v>#REF!</v>
      </c>
      <c r="O66" s="20" t="e">
        <f ca="1"/>
        <v>#N/A</v>
      </c>
      <c r="P66" s="20" t="e">
        <f ca="1"/>
        <v>#N/A</v>
      </c>
      <c r="Q66" s="20" t="s">
        <v>5</v>
      </c>
      <c r="R66" s="20" t="s">
        <v>5</v>
      </c>
      <c r="U66" s="20"/>
      <c r="V66" s="20" t="s">
        <v>5</v>
      </c>
      <c r="W66" s="20" t="s">
        <v>5</v>
      </c>
      <c r="X66" s="27" t="s">
        <v>5</v>
      </c>
      <c r="Y66" s="28" t="s">
        <v>5</v>
      </c>
      <c r="Z66" s="27" t="s">
        <v>5</v>
      </c>
      <c r="AA66" s="28" t="s">
        <v>5</v>
      </c>
      <c r="AB66" s="27" t="s">
        <v>5</v>
      </c>
      <c r="AC66" s="27" t="s">
        <v>5</v>
      </c>
      <c r="AD66" s="27" t="s">
        <v>5</v>
      </c>
      <c r="AE66" s="27" t="s">
        <v>5</v>
      </c>
      <c r="AF66" s="27" t="s">
        <v>5</v>
      </c>
      <c r="AG66" s="27" t="s">
        <v>5</v>
      </c>
      <c r="AH66" s="20" t="s">
        <v>5</v>
      </c>
      <c r="AI66" s="20" t="s">
        <v>5</v>
      </c>
      <c r="AJ66" s="20" t="s">
        <v>5</v>
      </c>
      <c r="AK66" s="20" t="s">
        <v>5</v>
      </c>
    </row>
    <row r="67" spans="2:37" ht="12.5">
      <c r="B67" s="20" t="str">
        <f ca="1">IFERROR(__xludf.DUMMYFUNCTION("""COMPUTED_VALUE"""),"鎌倉女学院高")</f>
        <v>鎌倉女学院高</v>
      </c>
      <c r="C67" s="20" t="e">
        <f ca="1"/>
        <v>#N/A</v>
      </c>
      <c r="D67" s="26" t="e">
        <f ca="1"/>
        <v>#REF!</v>
      </c>
      <c r="E67" s="27" t="e">
        <f ca="1"/>
        <v>#REF!</v>
      </c>
      <c r="F67" s="28" t="e">
        <f ca="1"/>
        <v>#REF!</v>
      </c>
      <c r="G67" s="27" t="e">
        <f ca="1"/>
        <v>#REF!</v>
      </c>
      <c r="H67" s="28" t="e">
        <f ca="1"/>
        <v>#REF!</v>
      </c>
      <c r="I67" s="27" t="e">
        <f ca="1"/>
        <v>#REF!</v>
      </c>
      <c r="J67" s="28" t="e">
        <f ca="1"/>
        <v>#REF!</v>
      </c>
      <c r="K67" s="27" t="e">
        <f ca="1"/>
        <v>#REF!</v>
      </c>
      <c r="L67" s="28" t="e">
        <f ca="1"/>
        <v>#REF!</v>
      </c>
      <c r="M67" s="27" t="e">
        <f ca="1"/>
        <v>#REF!</v>
      </c>
      <c r="N67" s="28" t="e">
        <f ca="1"/>
        <v>#REF!</v>
      </c>
      <c r="O67" s="20" t="e">
        <f ca="1"/>
        <v>#N/A</v>
      </c>
      <c r="P67" s="20" t="e">
        <f ca="1"/>
        <v>#N/A</v>
      </c>
      <c r="Q67" s="20" t="s">
        <v>5</v>
      </c>
      <c r="R67" s="20" t="s">
        <v>5</v>
      </c>
      <c r="U67" s="20"/>
      <c r="V67" s="20" t="s">
        <v>5</v>
      </c>
      <c r="W67" s="20" t="s">
        <v>5</v>
      </c>
      <c r="X67" s="27" t="s">
        <v>5</v>
      </c>
      <c r="Y67" s="28" t="s">
        <v>5</v>
      </c>
      <c r="Z67" s="27" t="s">
        <v>5</v>
      </c>
      <c r="AA67" s="28" t="s">
        <v>5</v>
      </c>
      <c r="AB67" s="27" t="s">
        <v>5</v>
      </c>
      <c r="AC67" s="27" t="s">
        <v>5</v>
      </c>
      <c r="AD67" s="27" t="s">
        <v>5</v>
      </c>
      <c r="AE67" s="27" t="s">
        <v>5</v>
      </c>
      <c r="AF67" s="27" t="s">
        <v>5</v>
      </c>
      <c r="AG67" s="27" t="s">
        <v>5</v>
      </c>
      <c r="AH67" s="20" t="s">
        <v>5</v>
      </c>
      <c r="AI67" s="20" t="s">
        <v>5</v>
      </c>
      <c r="AJ67" s="20" t="s">
        <v>5</v>
      </c>
      <c r="AK67" s="20" t="s">
        <v>5</v>
      </c>
    </row>
    <row r="68" spans="2:37" ht="12.5">
      <c r="B68" s="20" t="str">
        <f ca="1">IFERROR(__xludf.DUMMYFUNCTION("""COMPUTED_VALUE"""),"藤沢西高")</f>
        <v>藤沢西高</v>
      </c>
      <c r="C68" s="20" t="e">
        <f ca="1"/>
        <v>#N/A</v>
      </c>
      <c r="D68" s="26" t="e">
        <f ca="1"/>
        <v>#REF!</v>
      </c>
      <c r="E68" s="27" t="e">
        <f ca="1"/>
        <v>#REF!</v>
      </c>
      <c r="F68" s="28" t="e">
        <f ca="1"/>
        <v>#REF!</v>
      </c>
      <c r="G68" s="27" t="e">
        <f ca="1"/>
        <v>#REF!</v>
      </c>
      <c r="H68" s="28" t="e">
        <f ca="1"/>
        <v>#REF!</v>
      </c>
      <c r="I68" s="27" t="e">
        <f ca="1"/>
        <v>#REF!</v>
      </c>
      <c r="J68" s="28" t="e">
        <f ca="1"/>
        <v>#REF!</v>
      </c>
      <c r="K68" s="27" t="e">
        <f ca="1"/>
        <v>#REF!</v>
      </c>
      <c r="L68" s="28" t="e">
        <f ca="1"/>
        <v>#REF!</v>
      </c>
      <c r="M68" s="27" t="e">
        <f ca="1"/>
        <v>#REF!</v>
      </c>
      <c r="N68" s="28" t="e">
        <f ca="1"/>
        <v>#REF!</v>
      </c>
      <c r="O68" s="20" t="e">
        <f ca="1"/>
        <v>#N/A</v>
      </c>
      <c r="P68" s="20" t="e">
        <f ca="1"/>
        <v>#N/A</v>
      </c>
      <c r="Q68" s="20" t="s">
        <v>5</v>
      </c>
      <c r="R68" s="20" t="s">
        <v>5</v>
      </c>
      <c r="U68" s="20"/>
      <c r="V68" s="20" t="s">
        <v>5</v>
      </c>
      <c r="W68" s="20" t="s">
        <v>5</v>
      </c>
      <c r="X68" s="27" t="s">
        <v>5</v>
      </c>
      <c r="Y68" s="28" t="s">
        <v>5</v>
      </c>
      <c r="Z68" s="27" t="s">
        <v>5</v>
      </c>
      <c r="AA68" s="28" t="s">
        <v>5</v>
      </c>
      <c r="AB68" s="27" t="s">
        <v>5</v>
      </c>
      <c r="AC68" s="27" t="s">
        <v>5</v>
      </c>
      <c r="AD68" s="27" t="s">
        <v>5</v>
      </c>
      <c r="AE68" s="27" t="s">
        <v>5</v>
      </c>
      <c r="AF68" s="27" t="s">
        <v>5</v>
      </c>
      <c r="AG68" s="27" t="s">
        <v>5</v>
      </c>
      <c r="AH68" s="20" t="s">
        <v>5</v>
      </c>
      <c r="AI68" s="20" t="s">
        <v>5</v>
      </c>
      <c r="AJ68" s="20" t="s">
        <v>5</v>
      </c>
      <c r="AK68" s="20" t="s">
        <v>5</v>
      </c>
    </row>
    <row r="69" spans="2:37" ht="12.5">
      <c r="B69" s="20" t="str">
        <f ca="1">IFERROR(__xludf.DUMMYFUNCTION("""COMPUTED_VALUE"""),"甲府南高")</f>
        <v>甲府南高</v>
      </c>
      <c r="C69" s="20" t="e">
        <f ca="1"/>
        <v>#N/A</v>
      </c>
      <c r="D69" s="26" t="e">
        <f ca="1"/>
        <v>#REF!</v>
      </c>
      <c r="E69" s="27" t="e">
        <f ca="1"/>
        <v>#REF!</v>
      </c>
      <c r="F69" s="28" t="e">
        <f ca="1"/>
        <v>#REF!</v>
      </c>
      <c r="G69" s="27" t="e">
        <f ca="1"/>
        <v>#REF!</v>
      </c>
      <c r="H69" s="28" t="e">
        <f ca="1"/>
        <v>#REF!</v>
      </c>
      <c r="I69" s="27" t="e">
        <f ca="1"/>
        <v>#REF!</v>
      </c>
      <c r="J69" s="28" t="e">
        <f ca="1"/>
        <v>#REF!</v>
      </c>
      <c r="K69" s="27" t="e">
        <f ca="1"/>
        <v>#REF!</v>
      </c>
      <c r="L69" s="28" t="e">
        <f ca="1"/>
        <v>#REF!</v>
      </c>
      <c r="M69" s="27" t="e">
        <f ca="1"/>
        <v>#REF!</v>
      </c>
      <c r="N69" s="28" t="e">
        <f ca="1"/>
        <v>#REF!</v>
      </c>
      <c r="O69" s="20" t="e">
        <f ca="1"/>
        <v>#N/A</v>
      </c>
      <c r="P69" s="20" t="e">
        <f ca="1"/>
        <v>#N/A</v>
      </c>
      <c r="Q69" s="20" t="s">
        <v>5</v>
      </c>
      <c r="R69" s="20" t="s">
        <v>5</v>
      </c>
      <c r="U69" s="20"/>
      <c r="V69" s="20" t="s">
        <v>5</v>
      </c>
      <c r="W69" s="20" t="s">
        <v>5</v>
      </c>
      <c r="X69" s="27" t="s">
        <v>5</v>
      </c>
      <c r="Y69" s="28" t="s">
        <v>5</v>
      </c>
      <c r="Z69" s="27" t="s">
        <v>5</v>
      </c>
      <c r="AA69" s="28" t="s">
        <v>5</v>
      </c>
      <c r="AB69" s="27" t="s">
        <v>5</v>
      </c>
      <c r="AC69" s="27" t="s">
        <v>5</v>
      </c>
      <c r="AD69" s="27" t="s">
        <v>5</v>
      </c>
      <c r="AE69" s="27" t="s">
        <v>5</v>
      </c>
      <c r="AF69" s="27" t="s">
        <v>5</v>
      </c>
      <c r="AG69" s="27" t="s">
        <v>5</v>
      </c>
      <c r="AH69" s="20" t="s">
        <v>5</v>
      </c>
      <c r="AI69" s="20" t="s">
        <v>5</v>
      </c>
      <c r="AJ69" s="20" t="s">
        <v>5</v>
      </c>
      <c r="AK69" s="20" t="s">
        <v>5</v>
      </c>
    </row>
    <row r="70" spans="2:37" ht="12.5">
      <c r="B70" s="20" t="str">
        <f ca="1">IFERROR(__xludf.DUMMYFUNCTION("""COMPUTED_VALUE"""),"武生高")</f>
        <v>武生高</v>
      </c>
      <c r="C70" s="20" t="e">
        <f ca="1"/>
        <v>#N/A</v>
      </c>
      <c r="D70" s="26" t="e">
        <f ca="1"/>
        <v>#REF!</v>
      </c>
      <c r="E70" s="27" t="e">
        <f ca="1"/>
        <v>#REF!</v>
      </c>
      <c r="F70" s="28" t="e">
        <f ca="1"/>
        <v>#REF!</v>
      </c>
      <c r="G70" s="27" t="e">
        <f ca="1"/>
        <v>#REF!</v>
      </c>
      <c r="H70" s="28" t="e">
        <f ca="1"/>
        <v>#REF!</v>
      </c>
      <c r="I70" s="27" t="e">
        <f ca="1"/>
        <v>#REF!</v>
      </c>
      <c r="J70" s="28" t="e">
        <f ca="1"/>
        <v>#REF!</v>
      </c>
      <c r="K70" s="27" t="e">
        <f ca="1"/>
        <v>#REF!</v>
      </c>
      <c r="L70" s="28" t="e">
        <f ca="1"/>
        <v>#REF!</v>
      </c>
      <c r="M70" s="27" t="e">
        <f ca="1"/>
        <v>#REF!</v>
      </c>
      <c r="N70" s="28" t="e">
        <f ca="1"/>
        <v>#REF!</v>
      </c>
      <c r="O70" s="20" t="e">
        <f ca="1"/>
        <v>#N/A</v>
      </c>
      <c r="P70" s="20" t="e">
        <f ca="1"/>
        <v>#N/A</v>
      </c>
      <c r="Q70" s="20" t="s">
        <v>5</v>
      </c>
      <c r="R70" s="20" t="s">
        <v>5</v>
      </c>
      <c r="U70" s="20"/>
      <c r="V70" s="20" t="s">
        <v>5</v>
      </c>
      <c r="W70" s="20" t="s">
        <v>5</v>
      </c>
      <c r="X70" s="27" t="s">
        <v>5</v>
      </c>
      <c r="Y70" s="28" t="s">
        <v>5</v>
      </c>
      <c r="Z70" s="27" t="s">
        <v>5</v>
      </c>
      <c r="AA70" s="28" t="s">
        <v>5</v>
      </c>
      <c r="AB70" s="27" t="s">
        <v>5</v>
      </c>
      <c r="AC70" s="27" t="s">
        <v>5</v>
      </c>
      <c r="AD70" s="27" t="s">
        <v>5</v>
      </c>
      <c r="AE70" s="27" t="s">
        <v>5</v>
      </c>
      <c r="AF70" s="27" t="s">
        <v>5</v>
      </c>
      <c r="AG70" s="27" t="s">
        <v>5</v>
      </c>
      <c r="AH70" s="20" t="s">
        <v>5</v>
      </c>
      <c r="AI70" s="20" t="s">
        <v>5</v>
      </c>
      <c r="AJ70" s="20" t="s">
        <v>5</v>
      </c>
      <c r="AK70" s="20" t="s">
        <v>5</v>
      </c>
    </row>
    <row r="71" spans="2:37" ht="12.5">
      <c r="B71" s="20" t="str">
        <f ca="1">IFERROR(__xludf.DUMMYFUNCTION("""COMPUTED_VALUE"""),"諏訪清陵高")</f>
        <v>諏訪清陵高</v>
      </c>
      <c r="C71" s="20" t="e">
        <f ca="1"/>
        <v>#N/A</v>
      </c>
      <c r="D71" s="26" t="e">
        <f ca="1"/>
        <v>#REF!</v>
      </c>
      <c r="E71" s="27" t="e">
        <f ca="1"/>
        <v>#REF!</v>
      </c>
      <c r="F71" s="28" t="e">
        <f ca="1"/>
        <v>#REF!</v>
      </c>
      <c r="G71" s="27" t="e">
        <f ca="1"/>
        <v>#REF!</v>
      </c>
      <c r="H71" s="28" t="e">
        <f ca="1"/>
        <v>#REF!</v>
      </c>
      <c r="I71" s="27" t="e">
        <f ca="1"/>
        <v>#REF!</v>
      </c>
      <c r="J71" s="28" t="e">
        <f ca="1"/>
        <v>#REF!</v>
      </c>
      <c r="K71" s="27" t="e">
        <f ca="1"/>
        <v>#REF!</v>
      </c>
      <c r="L71" s="28" t="e">
        <f ca="1"/>
        <v>#REF!</v>
      </c>
      <c r="M71" s="27" t="e">
        <f ca="1"/>
        <v>#REF!</v>
      </c>
      <c r="N71" s="28" t="e">
        <f ca="1"/>
        <v>#REF!</v>
      </c>
      <c r="O71" s="20" t="e">
        <f ca="1"/>
        <v>#N/A</v>
      </c>
      <c r="P71" s="20" t="e">
        <f ca="1"/>
        <v>#N/A</v>
      </c>
      <c r="Q71" s="20" t="s">
        <v>5</v>
      </c>
      <c r="R71" s="20" t="s">
        <v>5</v>
      </c>
      <c r="U71" s="20"/>
      <c r="V71" s="20" t="s">
        <v>5</v>
      </c>
      <c r="W71" s="20" t="s">
        <v>5</v>
      </c>
      <c r="X71" s="27" t="s">
        <v>5</v>
      </c>
      <c r="Y71" s="28" t="s">
        <v>5</v>
      </c>
      <c r="Z71" s="27" t="s">
        <v>5</v>
      </c>
      <c r="AA71" s="28" t="s">
        <v>5</v>
      </c>
      <c r="AB71" s="27" t="s">
        <v>5</v>
      </c>
      <c r="AC71" s="27" t="s">
        <v>5</v>
      </c>
      <c r="AD71" s="27" t="s">
        <v>5</v>
      </c>
      <c r="AE71" s="27" t="s">
        <v>5</v>
      </c>
      <c r="AF71" s="27" t="s">
        <v>5</v>
      </c>
      <c r="AG71" s="27" t="s">
        <v>5</v>
      </c>
      <c r="AH71" s="20" t="s">
        <v>5</v>
      </c>
      <c r="AI71" s="20" t="s">
        <v>5</v>
      </c>
      <c r="AJ71" s="20" t="s">
        <v>5</v>
      </c>
      <c r="AK71" s="20" t="s">
        <v>5</v>
      </c>
    </row>
    <row r="72" spans="2:37" ht="12.5">
      <c r="B72" s="20" t="str">
        <f ca="1">IFERROR(__xludf.DUMMYFUNCTION("""COMPUTED_VALUE"""),"大垣北高")</f>
        <v>大垣北高</v>
      </c>
      <c r="C72" s="20" t="e">
        <f ca="1"/>
        <v>#N/A</v>
      </c>
      <c r="D72" s="26" t="e">
        <f ca="1"/>
        <v>#REF!</v>
      </c>
      <c r="E72" s="27" t="e">
        <f ca="1"/>
        <v>#REF!</v>
      </c>
      <c r="F72" s="28" t="e">
        <f ca="1"/>
        <v>#REF!</v>
      </c>
      <c r="G72" s="27" t="e">
        <f ca="1"/>
        <v>#REF!</v>
      </c>
      <c r="H72" s="28" t="e">
        <f ca="1"/>
        <v>#REF!</v>
      </c>
      <c r="I72" s="27" t="e">
        <f ca="1"/>
        <v>#REF!</v>
      </c>
      <c r="J72" s="28" t="e">
        <f ca="1"/>
        <v>#REF!</v>
      </c>
      <c r="K72" s="27" t="e">
        <f ca="1"/>
        <v>#REF!</v>
      </c>
      <c r="L72" s="28" t="e">
        <f ca="1"/>
        <v>#REF!</v>
      </c>
      <c r="M72" s="27" t="e">
        <f ca="1"/>
        <v>#REF!</v>
      </c>
      <c r="N72" s="28" t="e">
        <f ca="1"/>
        <v>#REF!</v>
      </c>
      <c r="O72" s="20" t="e">
        <f ca="1"/>
        <v>#N/A</v>
      </c>
      <c r="P72" s="20" t="e">
        <f ca="1"/>
        <v>#N/A</v>
      </c>
      <c r="Q72" s="20" t="s">
        <v>5</v>
      </c>
      <c r="R72" s="20" t="s">
        <v>5</v>
      </c>
      <c r="U72" s="20"/>
      <c r="V72" s="20" t="s">
        <v>5</v>
      </c>
      <c r="W72" s="20" t="s">
        <v>5</v>
      </c>
      <c r="X72" s="27" t="s">
        <v>5</v>
      </c>
      <c r="Y72" s="28" t="s">
        <v>5</v>
      </c>
      <c r="Z72" s="27" t="s">
        <v>5</v>
      </c>
      <c r="AA72" s="28" t="s">
        <v>5</v>
      </c>
      <c r="AB72" s="27" t="s">
        <v>5</v>
      </c>
      <c r="AC72" s="27" t="s">
        <v>5</v>
      </c>
      <c r="AD72" s="27" t="s">
        <v>5</v>
      </c>
      <c r="AE72" s="27" t="s">
        <v>5</v>
      </c>
      <c r="AF72" s="27" t="s">
        <v>5</v>
      </c>
      <c r="AG72" s="27" t="s">
        <v>5</v>
      </c>
      <c r="AH72" s="20" t="s">
        <v>5</v>
      </c>
      <c r="AI72" s="20" t="s">
        <v>5</v>
      </c>
      <c r="AJ72" s="20" t="s">
        <v>5</v>
      </c>
      <c r="AK72" s="20" t="s">
        <v>5</v>
      </c>
    </row>
    <row r="73" spans="2:37" ht="12.5">
      <c r="B73" s="20" t="str">
        <f ca="1">IFERROR(__xludf.DUMMYFUNCTION("""COMPUTED_VALUE"""),"沼津東高")</f>
        <v>沼津東高</v>
      </c>
      <c r="C73" s="20" t="e">
        <f ca="1"/>
        <v>#N/A</v>
      </c>
      <c r="D73" s="26" t="e">
        <f ca="1"/>
        <v>#REF!</v>
      </c>
      <c r="E73" s="27" t="e">
        <f ca="1"/>
        <v>#REF!</v>
      </c>
      <c r="F73" s="28" t="e">
        <f ca="1"/>
        <v>#REF!</v>
      </c>
      <c r="G73" s="27" t="e">
        <f ca="1"/>
        <v>#REF!</v>
      </c>
      <c r="H73" s="28" t="e">
        <f ca="1"/>
        <v>#REF!</v>
      </c>
      <c r="I73" s="27" t="e">
        <f ca="1"/>
        <v>#REF!</v>
      </c>
      <c r="J73" s="28" t="e">
        <f ca="1"/>
        <v>#REF!</v>
      </c>
      <c r="K73" s="27" t="e">
        <f ca="1"/>
        <v>#REF!</v>
      </c>
      <c r="L73" s="28" t="e">
        <f ca="1"/>
        <v>#REF!</v>
      </c>
      <c r="M73" s="27" t="e">
        <f ca="1"/>
        <v>#REF!</v>
      </c>
      <c r="N73" s="28" t="e">
        <f ca="1"/>
        <v>#REF!</v>
      </c>
      <c r="O73" s="20" t="e">
        <f ca="1"/>
        <v>#N/A</v>
      </c>
      <c r="P73" s="20" t="e">
        <f ca="1"/>
        <v>#N/A</v>
      </c>
      <c r="Q73" s="20" t="s">
        <v>5</v>
      </c>
      <c r="R73" s="20" t="s">
        <v>5</v>
      </c>
      <c r="U73" s="20"/>
      <c r="V73" s="20" t="s">
        <v>5</v>
      </c>
      <c r="W73" s="20" t="s">
        <v>5</v>
      </c>
      <c r="X73" s="27" t="s">
        <v>5</v>
      </c>
      <c r="Y73" s="28" t="s">
        <v>5</v>
      </c>
      <c r="Z73" s="27" t="s">
        <v>5</v>
      </c>
      <c r="AA73" s="28" t="s">
        <v>5</v>
      </c>
      <c r="AB73" s="27" t="s">
        <v>5</v>
      </c>
      <c r="AC73" s="27" t="s">
        <v>5</v>
      </c>
      <c r="AD73" s="27" t="s">
        <v>5</v>
      </c>
      <c r="AE73" s="27" t="s">
        <v>5</v>
      </c>
      <c r="AF73" s="27" t="s">
        <v>5</v>
      </c>
      <c r="AG73" s="27" t="s">
        <v>5</v>
      </c>
      <c r="AH73" s="20" t="s">
        <v>5</v>
      </c>
      <c r="AI73" s="20" t="s">
        <v>5</v>
      </c>
      <c r="AJ73" s="20" t="s">
        <v>5</v>
      </c>
      <c r="AK73" s="20" t="s">
        <v>5</v>
      </c>
    </row>
    <row r="74" spans="2:37" ht="12.5">
      <c r="B74" s="20" t="str">
        <f ca="1">IFERROR(__xludf.DUMMYFUNCTION("""COMPUTED_VALUE"""),"浜松北高")</f>
        <v>浜松北高</v>
      </c>
      <c r="C74" s="20" t="e">
        <f ca="1"/>
        <v>#N/A</v>
      </c>
      <c r="D74" s="26" t="e">
        <f ca="1"/>
        <v>#REF!</v>
      </c>
      <c r="E74" s="27" t="e">
        <f ca="1"/>
        <v>#REF!</v>
      </c>
      <c r="F74" s="28" t="e">
        <f ca="1"/>
        <v>#REF!</v>
      </c>
      <c r="G74" s="27" t="e">
        <f ca="1"/>
        <v>#REF!</v>
      </c>
      <c r="H74" s="28" t="e">
        <f ca="1"/>
        <v>#REF!</v>
      </c>
      <c r="I74" s="27" t="e">
        <f ca="1"/>
        <v>#REF!</v>
      </c>
      <c r="J74" s="28" t="e">
        <f ca="1"/>
        <v>#REF!</v>
      </c>
      <c r="K74" s="27" t="e">
        <f ca="1"/>
        <v>#REF!</v>
      </c>
      <c r="L74" s="28" t="e">
        <f ca="1"/>
        <v>#REF!</v>
      </c>
      <c r="M74" s="27" t="e">
        <f ca="1"/>
        <v>#REF!</v>
      </c>
      <c r="N74" s="28" t="e">
        <f ca="1"/>
        <v>#REF!</v>
      </c>
      <c r="O74" s="20" t="e">
        <f ca="1"/>
        <v>#N/A</v>
      </c>
      <c r="P74" s="20" t="e">
        <f ca="1"/>
        <v>#N/A</v>
      </c>
      <c r="Q74" s="20" t="s">
        <v>5</v>
      </c>
      <c r="R74" s="20" t="s">
        <v>5</v>
      </c>
      <c r="U74" s="20"/>
      <c r="V74" s="20" t="s">
        <v>5</v>
      </c>
      <c r="W74" s="20" t="s">
        <v>5</v>
      </c>
      <c r="X74" s="27" t="s">
        <v>5</v>
      </c>
      <c r="Y74" s="28" t="s">
        <v>5</v>
      </c>
      <c r="Z74" s="27" t="s">
        <v>5</v>
      </c>
      <c r="AA74" s="28" t="s">
        <v>5</v>
      </c>
      <c r="AB74" s="27" t="s">
        <v>5</v>
      </c>
      <c r="AC74" s="27" t="s">
        <v>5</v>
      </c>
      <c r="AD74" s="27" t="s">
        <v>5</v>
      </c>
      <c r="AE74" s="27" t="s">
        <v>5</v>
      </c>
      <c r="AF74" s="27" t="s">
        <v>5</v>
      </c>
      <c r="AG74" s="27" t="s">
        <v>5</v>
      </c>
      <c r="AH74" s="20" t="s">
        <v>5</v>
      </c>
      <c r="AI74" s="20" t="s">
        <v>5</v>
      </c>
      <c r="AJ74" s="20" t="s">
        <v>5</v>
      </c>
      <c r="AK74" s="20" t="s">
        <v>5</v>
      </c>
    </row>
    <row r="75" spans="2:37" ht="12.5">
      <c r="B75" s="20" t="str">
        <f ca="1">IFERROR(__xludf.DUMMYFUNCTION("""COMPUTED_VALUE"""),"名城大附属高")</f>
        <v>名城大附属高</v>
      </c>
      <c r="C75" s="20" t="e">
        <f ca="1"/>
        <v>#N/A</v>
      </c>
      <c r="D75" s="26" t="e">
        <f ca="1"/>
        <v>#REF!</v>
      </c>
      <c r="E75" s="27" t="e">
        <f ca="1"/>
        <v>#REF!</v>
      </c>
      <c r="F75" s="28" t="e">
        <f ca="1"/>
        <v>#REF!</v>
      </c>
      <c r="G75" s="27" t="e">
        <f ca="1"/>
        <v>#REF!</v>
      </c>
      <c r="H75" s="28" t="e">
        <f ca="1"/>
        <v>#REF!</v>
      </c>
      <c r="I75" s="27" t="e">
        <f ca="1"/>
        <v>#REF!</v>
      </c>
      <c r="J75" s="28" t="e">
        <f ca="1"/>
        <v>#REF!</v>
      </c>
      <c r="K75" s="27" t="e">
        <f ca="1"/>
        <v>#REF!</v>
      </c>
      <c r="L75" s="28" t="e">
        <f ca="1"/>
        <v>#REF!</v>
      </c>
      <c r="M75" s="27" t="e">
        <f ca="1"/>
        <v>#REF!</v>
      </c>
      <c r="N75" s="28" t="e">
        <f ca="1"/>
        <v>#REF!</v>
      </c>
      <c r="O75" s="20" t="e">
        <f ca="1"/>
        <v>#N/A</v>
      </c>
      <c r="P75" s="20" t="e">
        <f ca="1"/>
        <v>#N/A</v>
      </c>
      <c r="Q75" s="20" t="s">
        <v>5</v>
      </c>
      <c r="R75" s="20" t="s">
        <v>5</v>
      </c>
      <c r="U75" s="20"/>
      <c r="V75" s="20" t="s">
        <v>5</v>
      </c>
      <c r="W75" s="20" t="s">
        <v>5</v>
      </c>
      <c r="X75" s="27" t="s">
        <v>5</v>
      </c>
      <c r="Y75" s="28" t="s">
        <v>5</v>
      </c>
      <c r="Z75" s="27" t="s">
        <v>5</v>
      </c>
      <c r="AA75" s="28" t="s">
        <v>5</v>
      </c>
      <c r="AB75" s="27" t="s">
        <v>5</v>
      </c>
      <c r="AC75" s="27" t="s">
        <v>5</v>
      </c>
      <c r="AD75" s="27" t="s">
        <v>5</v>
      </c>
      <c r="AE75" s="27" t="s">
        <v>5</v>
      </c>
      <c r="AF75" s="27" t="s">
        <v>5</v>
      </c>
      <c r="AG75" s="27" t="s">
        <v>5</v>
      </c>
      <c r="AH75" s="20" t="s">
        <v>5</v>
      </c>
      <c r="AI75" s="20" t="s">
        <v>5</v>
      </c>
      <c r="AJ75" s="20" t="s">
        <v>5</v>
      </c>
      <c r="AK75" s="20" t="s">
        <v>5</v>
      </c>
    </row>
    <row r="76" spans="2:37" ht="12.5">
      <c r="B76" s="20" t="str">
        <f ca="1">IFERROR(__xludf.DUMMYFUNCTION("""COMPUTED_VALUE"""),"京都女子高")</f>
        <v>京都女子高</v>
      </c>
      <c r="C76" s="20" t="e">
        <f ca="1"/>
        <v>#N/A</v>
      </c>
      <c r="D76" s="26" t="e">
        <f ca="1"/>
        <v>#REF!</v>
      </c>
      <c r="E76" s="27" t="e">
        <f ca="1"/>
        <v>#REF!</v>
      </c>
      <c r="F76" s="28" t="e">
        <f ca="1"/>
        <v>#REF!</v>
      </c>
      <c r="G76" s="27" t="e">
        <f ca="1"/>
        <v>#REF!</v>
      </c>
      <c r="H76" s="28" t="e">
        <f ca="1"/>
        <v>#REF!</v>
      </c>
      <c r="I76" s="27" t="e">
        <f ca="1"/>
        <v>#REF!</v>
      </c>
      <c r="J76" s="28" t="e">
        <f ca="1"/>
        <v>#REF!</v>
      </c>
      <c r="K76" s="27" t="e">
        <f ca="1"/>
        <v>#REF!</v>
      </c>
      <c r="L76" s="28" t="e">
        <f ca="1"/>
        <v>#REF!</v>
      </c>
      <c r="M76" s="27" t="e">
        <f ca="1"/>
        <v>#REF!</v>
      </c>
      <c r="N76" s="28" t="e">
        <f ca="1"/>
        <v>#REF!</v>
      </c>
      <c r="O76" s="20" t="e">
        <f ca="1"/>
        <v>#N/A</v>
      </c>
      <c r="P76" s="20" t="e">
        <f ca="1"/>
        <v>#N/A</v>
      </c>
      <c r="Q76" s="20" t="s">
        <v>5</v>
      </c>
      <c r="R76" s="20" t="s">
        <v>5</v>
      </c>
      <c r="U76" s="20"/>
      <c r="V76" s="20" t="s">
        <v>5</v>
      </c>
      <c r="W76" s="20" t="s">
        <v>5</v>
      </c>
      <c r="X76" s="27" t="s">
        <v>5</v>
      </c>
      <c r="Y76" s="28" t="s">
        <v>5</v>
      </c>
      <c r="Z76" s="27" t="s">
        <v>5</v>
      </c>
      <c r="AA76" s="28" t="s">
        <v>5</v>
      </c>
      <c r="AB76" s="27" t="s">
        <v>5</v>
      </c>
      <c r="AC76" s="27" t="s">
        <v>5</v>
      </c>
      <c r="AD76" s="27" t="s">
        <v>5</v>
      </c>
      <c r="AE76" s="27" t="s">
        <v>5</v>
      </c>
      <c r="AF76" s="27" t="s">
        <v>5</v>
      </c>
      <c r="AG76" s="27" t="s">
        <v>5</v>
      </c>
      <c r="AH76" s="20" t="s">
        <v>5</v>
      </c>
      <c r="AI76" s="20" t="s">
        <v>5</v>
      </c>
      <c r="AJ76" s="20" t="s">
        <v>5</v>
      </c>
      <c r="AK76" s="20" t="s">
        <v>5</v>
      </c>
    </row>
    <row r="77" spans="2:37" ht="12.5">
      <c r="B77" s="20" t="str">
        <f ca="1">IFERROR(__xludf.DUMMYFUNCTION("""COMPUTED_VALUE"""),"北稜高")</f>
        <v>北稜高</v>
      </c>
      <c r="C77" s="20" t="e">
        <f ca="1"/>
        <v>#N/A</v>
      </c>
      <c r="D77" s="26" t="e">
        <f ca="1"/>
        <v>#REF!</v>
      </c>
      <c r="E77" s="27" t="e">
        <f ca="1"/>
        <v>#REF!</v>
      </c>
      <c r="F77" s="28" t="e">
        <f ca="1"/>
        <v>#REF!</v>
      </c>
      <c r="G77" s="27" t="e">
        <f ca="1"/>
        <v>#REF!</v>
      </c>
      <c r="H77" s="28" t="e">
        <f ca="1"/>
        <v>#REF!</v>
      </c>
      <c r="I77" s="27" t="e">
        <f ca="1"/>
        <v>#REF!</v>
      </c>
      <c r="J77" s="28" t="e">
        <f ca="1"/>
        <v>#REF!</v>
      </c>
      <c r="K77" s="27" t="e">
        <f ca="1"/>
        <v>#REF!</v>
      </c>
      <c r="L77" s="28" t="e">
        <f ca="1"/>
        <v>#REF!</v>
      </c>
      <c r="M77" s="27" t="e">
        <f ca="1"/>
        <v>#REF!</v>
      </c>
      <c r="N77" s="28" t="e">
        <f ca="1"/>
        <v>#REF!</v>
      </c>
      <c r="O77" s="20" t="e">
        <f ca="1"/>
        <v>#N/A</v>
      </c>
      <c r="P77" s="20" t="e">
        <f ca="1"/>
        <v>#N/A</v>
      </c>
      <c r="Q77" s="20" t="s">
        <v>5</v>
      </c>
      <c r="R77" s="20" t="s">
        <v>5</v>
      </c>
      <c r="U77" s="20"/>
      <c r="V77" s="20" t="s">
        <v>5</v>
      </c>
      <c r="W77" s="20" t="s">
        <v>5</v>
      </c>
      <c r="X77" s="27" t="s">
        <v>5</v>
      </c>
      <c r="Y77" s="28" t="s">
        <v>5</v>
      </c>
      <c r="Z77" s="27" t="s">
        <v>5</v>
      </c>
      <c r="AA77" s="28" t="s">
        <v>5</v>
      </c>
      <c r="AB77" s="27" t="s">
        <v>5</v>
      </c>
      <c r="AC77" s="27" t="s">
        <v>5</v>
      </c>
      <c r="AD77" s="27" t="s">
        <v>5</v>
      </c>
      <c r="AE77" s="27" t="s">
        <v>5</v>
      </c>
      <c r="AF77" s="27" t="s">
        <v>5</v>
      </c>
      <c r="AG77" s="27" t="s">
        <v>5</v>
      </c>
      <c r="AH77" s="20" t="s">
        <v>5</v>
      </c>
      <c r="AI77" s="20" t="s">
        <v>5</v>
      </c>
      <c r="AJ77" s="20" t="s">
        <v>5</v>
      </c>
      <c r="AK77" s="20" t="s">
        <v>5</v>
      </c>
    </row>
    <row r="78" spans="2:37" ht="12.5">
      <c r="B78" s="20" t="str">
        <f ca="1">IFERROR(__xludf.DUMMYFUNCTION("""COMPUTED_VALUE"""),"市岡高")</f>
        <v>市岡高</v>
      </c>
      <c r="C78" s="20" t="e">
        <f ca="1"/>
        <v>#N/A</v>
      </c>
      <c r="D78" s="26" t="e">
        <f ca="1"/>
        <v>#REF!</v>
      </c>
      <c r="E78" s="27" t="e">
        <f ca="1"/>
        <v>#REF!</v>
      </c>
      <c r="F78" s="28" t="e">
        <f ca="1"/>
        <v>#REF!</v>
      </c>
      <c r="G78" s="27" t="e">
        <f ca="1"/>
        <v>#REF!</v>
      </c>
      <c r="H78" s="28" t="e">
        <f ca="1"/>
        <v>#REF!</v>
      </c>
      <c r="I78" s="27" t="e">
        <f ca="1"/>
        <v>#REF!</v>
      </c>
      <c r="J78" s="28" t="e">
        <f ca="1"/>
        <v>#REF!</v>
      </c>
      <c r="K78" s="27" t="e">
        <f ca="1"/>
        <v>#REF!</v>
      </c>
      <c r="L78" s="28" t="e">
        <f ca="1"/>
        <v>#REF!</v>
      </c>
      <c r="M78" s="27" t="e">
        <f ca="1"/>
        <v>#REF!</v>
      </c>
      <c r="N78" s="28" t="e">
        <f ca="1"/>
        <v>#REF!</v>
      </c>
      <c r="O78" s="20" t="e">
        <f ca="1"/>
        <v>#N/A</v>
      </c>
      <c r="P78" s="20" t="e">
        <f ca="1"/>
        <v>#N/A</v>
      </c>
      <c r="Q78" s="20" t="s">
        <v>5</v>
      </c>
      <c r="R78" s="20" t="s">
        <v>5</v>
      </c>
      <c r="U78" s="20"/>
      <c r="V78" s="20" t="s">
        <v>5</v>
      </c>
      <c r="W78" s="20" t="s">
        <v>5</v>
      </c>
      <c r="X78" s="27" t="s">
        <v>5</v>
      </c>
      <c r="Y78" s="28" t="s">
        <v>5</v>
      </c>
      <c r="Z78" s="27" t="s">
        <v>5</v>
      </c>
      <c r="AA78" s="28" t="s">
        <v>5</v>
      </c>
      <c r="AB78" s="27" t="s">
        <v>5</v>
      </c>
      <c r="AC78" s="27" t="s">
        <v>5</v>
      </c>
      <c r="AD78" s="27" t="s">
        <v>5</v>
      </c>
      <c r="AE78" s="27" t="s">
        <v>5</v>
      </c>
      <c r="AF78" s="27" t="s">
        <v>5</v>
      </c>
      <c r="AG78" s="27" t="s">
        <v>5</v>
      </c>
      <c r="AH78" s="20" t="s">
        <v>5</v>
      </c>
      <c r="AI78" s="20" t="s">
        <v>5</v>
      </c>
      <c r="AJ78" s="20" t="s">
        <v>5</v>
      </c>
      <c r="AK78" s="20" t="s">
        <v>5</v>
      </c>
    </row>
    <row r="79" spans="2:37" ht="12.5">
      <c r="B79" s="20" t="str">
        <f ca="1">IFERROR(__xludf.DUMMYFUNCTION("""COMPUTED_VALUE"""),"天王寺高")</f>
        <v>天王寺高</v>
      </c>
      <c r="C79" s="20" t="e">
        <f ca="1"/>
        <v>#N/A</v>
      </c>
      <c r="D79" s="20" t="e">
        <f ca="1"/>
        <v>#REF!</v>
      </c>
      <c r="E79" s="27" t="e">
        <f ca="1"/>
        <v>#REF!</v>
      </c>
      <c r="F79" s="28" t="e">
        <f ca="1"/>
        <v>#REF!</v>
      </c>
      <c r="G79" s="27" t="e">
        <f ca="1"/>
        <v>#REF!</v>
      </c>
      <c r="H79" s="28" t="e">
        <f ca="1"/>
        <v>#REF!</v>
      </c>
      <c r="I79" s="27" t="e">
        <f ca="1"/>
        <v>#REF!</v>
      </c>
      <c r="J79" s="27" t="e">
        <f ca="1"/>
        <v>#REF!</v>
      </c>
      <c r="K79" s="27" t="e">
        <f ca="1"/>
        <v>#REF!</v>
      </c>
      <c r="L79" s="27" t="e">
        <f ca="1"/>
        <v>#REF!</v>
      </c>
      <c r="M79" s="27" t="e">
        <f ca="1"/>
        <v>#REF!</v>
      </c>
      <c r="N79" s="27" t="e">
        <f ca="1"/>
        <v>#REF!</v>
      </c>
      <c r="O79" s="20" t="e">
        <f ca="1"/>
        <v>#N/A</v>
      </c>
      <c r="P79" s="20" t="e">
        <f ca="1"/>
        <v>#N/A</v>
      </c>
      <c r="Q79" s="20" t="s">
        <v>5</v>
      </c>
      <c r="R79" s="20" t="s">
        <v>5</v>
      </c>
      <c r="U79" s="20"/>
      <c r="V79" s="20" t="s">
        <v>5</v>
      </c>
      <c r="W79" s="20" t="s">
        <v>5</v>
      </c>
      <c r="X79" s="27" t="s">
        <v>5</v>
      </c>
      <c r="Y79" s="28" t="s">
        <v>5</v>
      </c>
      <c r="Z79" s="27" t="s">
        <v>5</v>
      </c>
      <c r="AA79" s="28" t="s">
        <v>5</v>
      </c>
      <c r="AB79" s="27" t="s">
        <v>5</v>
      </c>
      <c r="AC79" s="27" t="s">
        <v>5</v>
      </c>
      <c r="AD79" s="27" t="s">
        <v>5</v>
      </c>
      <c r="AE79" s="27" t="s">
        <v>5</v>
      </c>
      <c r="AF79" s="27" t="s">
        <v>5</v>
      </c>
      <c r="AG79" s="27" t="s">
        <v>5</v>
      </c>
      <c r="AH79" s="20" t="s">
        <v>5</v>
      </c>
      <c r="AI79" s="20" t="s">
        <v>5</v>
      </c>
      <c r="AJ79" s="20" t="s">
        <v>5</v>
      </c>
      <c r="AK79" s="20" t="s">
        <v>5</v>
      </c>
    </row>
    <row r="80" spans="2:37" ht="12.5">
      <c r="B80" s="20" t="str">
        <f ca="1">IFERROR(__xludf.DUMMYFUNCTION("""COMPUTED_VALUE"""),"桃山学院高")</f>
        <v>桃山学院高</v>
      </c>
      <c r="C80" s="20" t="e">
        <f ca="1"/>
        <v>#N/A</v>
      </c>
      <c r="D80" s="20" t="e">
        <f ca="1"/>
        <v>#REF!</v>
      </c>
      <c r="E80" s="27" t="e">
        <f ca="1"/>
        <v>#REF!</v>
      </c>
      <c r="F80" s="28" t="e">
        <f ca="1"/>
        <v>#REF!</v>
      </c>
      <c r="G80" s="27" t="e">
        <f ca="1"/>
        <v>#REF!</v>
      </c>
      <c r="H80" s="28" t="e">
        <f ca="1"/>
        <v>#REF!</v>
      </c>
      <c r="I80" s="27" t="e">
        <f ca="1"/>
        <v>#REF!</v>
      </c>
      <c r="J80" s="27" t="e">
        <f ca="1"/>
        <v>#REF!</v>
      </c>
      <c r="K80" s="27" t="e">
        <f ca="1"/>
        <v>#REF!</v>
      </c>
      <c r="L80" s="27" t="e">
        <f ca="1"/>
        <v>#REF!</v>
      </c>
      <c r="M80" s="27" t="e">
        <f ca="1"/>
        <v>#REF!</v>
      </c>
      <c r="N80" s="27" t="e">
        <f ca="1"/>
        <v>#REF!</v>
      </c>
      <c r="O80" s="20" t="e">
        <f ca="1"/>
        <v>#N/A</v>
      </c>
      <c r="P80" s="20" t="e">
        <f ca="1"/>
        <v>#N/A</v>
      </c>
      <c r="Q80" s="20" t="s">
        <v>5</v>
      </c>
      <c r="R80" s="20" t="s">
        <v>5</v>
      </c>
      <c r="U80" s="20"/>
      <c r="V80" s="20" t="s">
        <v>5</v>
      </c>
      <c r="W80" s="20" t="s">
        <v>5</v>
      </c>
      <c r="X80" s="27" t="s">
        <v>5</v>
      </c>
      <c r="Y80" s="28" t="s">
        <v>5</v>
      </c>
      <c r="Z80" s="27" t="s">
        <v>5</v>
      </c>
      <c r="AA80" s="28" t="s">
        <v>5</v>
      </c>
      <c r="AB80" s="27" t="s">
        <v>5</v>
      </c>
      <c r="AC80" s="27" t="s">
        <v>5</v>
      </c>
      <c r="AD80" s="27" t="s">
        <v>5</v>
      </c>
      <c r="AE80" s="27" t="s">
        <v>5</v>
      </c>
      <c r="AF80" s="27" t="s">
        <v>5</v>
      </c>
      <c r="AG80" s="27" t="s">
        <v>5</v>
      </c>
      <c r="AH80" s="20" t="s">
        <v>5</v>
      </c>
      <c r="AI80" s="20" t="s">
        <v>5</v>
      </c>
      <c r="AJ80" s="20" t="s">
        <v>5</v>
      </c>
      <c r="AK80" s="20" t="s">
        <v>5</v>
      </c>
    </row>
    <row r="81" spans="2:37" ht="12.5">
      <c r="B81" s="20" t="str">
        <f ca="1">IFERROR(__xludf.DUMMYFUNCTION("""COMPUTED_VALUE"""),"賢明女子学院高")</f>
        <v>賢明女子学院高</v>
      </c>
      <c r="C81" s="20" t="e">
        <f ca="1"/>
        <v>#N/A</v>
      </c>
      <c r="D81" s="20" t="e">
        <f ca="1"/>
        <v>#REF!</v>
      </c>
      <c r="E81" s="27" t="e">
        <f ca="1"/>
        <v>#REF!</v>
      </c>
      <c r="F81" s="28" t="e">
        <f ca="1"/>
        <v>#REF!</v>
      </c>
      <c r="G81" s="27" t="e">
        <f ca="1"/>
        <v>#REF!</v>
      </c>
      <c r="H81" s="28" t="e">
        <f ca="1"/>
        <v>#REF!</v>
      </c>
      <c r="I81" s="27" t="e">
        <f ca="1"/>
        <v>#REF!</v>
      </c>
      <c r="J81" s="27" t="e">
        <f ca="1"/>
        <v>#REF!</v>
      </c>
      <c r="K81" s="27" t="e">
        <f ca="1"/>
        <v>#REF!</v>
      </c>
      <c r="L81" s="27" t="e">
        <f ca="1"/>
        <v>#REF!</v>
      </c>
      <c r="M81" s="27" t="e">
        <f ca="1"/>
        <v>#REF!</v>
      </c>
      <c r="N81" s="27" t="e">
        <f ca="1"/>
        <v>#REF!</v>
      </c>
      <c r="O81" s="20" t="e">
        <f ca="1"/>
        <v>#N/A</v>
      </c>
      <c r="P81" s="20" t="e">
        <f ca="1"/>
        <v>#N/A</v>
      </c>
      <c r="Q81" s="20" t="s">
        <v>5</v>
      </c>
      <c r="R81" s="20" t="s">
        <v>5</v>
      </c>
      <c r="U81" s="20"/>
      <c r="V81" s="20" t="s">
        <v>5</v>
      </c>
      <c r="W81" s="20" t="s">
        <v>5</v>
      </c>
      <c r="X81" s="27" t="s">
        <v>5</v>
      </c>
      <c r="Y81" s="28" t="s">
        <v>5</v>
      </c>
      <c r="Z81" s="27" t="s">
        <v>5</v>
      </c>
      <c r="AA81" s="28" t="s">
        <v>5</v>
      </c>
      <c r="AB81" s="27" t="s">
        <v>5</v>
      </c>
      <c r="AC81" s="27" t="s">
        <v>5</v>
      </c>
      <c r="AD81" s="27" t="s">
        <v>5</v>
      </c>
      <c r="AE81" s="27" t="s">
        <v>5</v>
      </c>
      <c r="AF81" s="27" t="s">
        <v>5</v>
      </c>
      <c r="AG81" s="27" t="s">
        <v>5</v>
      </c>
      <c r="AH81" s="20" t="s">
        <v>5</v>
      </c>
      <c r="AI81" s="20" t="s">
        <v>5</v>
      </c>
      <c r="AJ81" s="20" t="s">
        <v>5</v>
      </c>
      <c r="AK81" s="20" t="s">
        <v>5</v>
      </c>
    </row>
    <row r="82" spans="2:37" ht="12.5">
      <c r="B82" s="20" t="str">
        <f ca="1">IFERROR(__xludf.DUMMYFUNCTION("""COMPUTED_VALUE"""),"県西宮高")</f>
        <v>県西宮高</v>
      </c>
      <c r="C82" s="20" t="e">
        <f ca="1"/>
        <v>#N/A</v>
      </c>
      <c r="D82" s="20" t="e">
        <f ca="1"/>
        <v>#REF!</v>
      </c>
      <c r="E82" s="27" t="e">
        <f ca="1"/>
        <v>#REF!</v>
      </c>
      <c r="F82" s="28" t="e">
        <f ca="1"/>
        <v>#REF!</v>
      </c>
      <c r="G82" s="27" t="e">
        <f ca="1"/>
        <v>#REF!</v>
      </c>
      <c r="H82" s="28" t="e">
        <f ca="1"/>
        <v>#REF!</v>
      </c>
      <c r="I82" s="27" t="e">
        <f ca="1"/>
        <v>#REF!</v>
      </c>
      <c r="J82" s="27" t="e">
        <f ca="1"/>
        <v>#REF!</v>
      </c>
      <c r="K82" s="27" t="e">
        <f ca="1"/>
        <v>#REF!</v>
      </c>
      <c r="L82" s="27" t="e">
        <f ca="1"/>
        <v>#REF!</v>
      </c>
      <c r="M82" s="27" t="e">
        <f ca="1"/>
        <v>#REF!</v>
      </c>
      <c r="N82" s="27" t="e">
        <f ca="1"/>
        <v>#REF!</v>
      </c>
      <c r="O82" s="20" t="e">
        <f ca="1"/>
        <v>#N/A</v>
      </c>
      <c r="P82" s="20" t="e">
        <f ca="1"/>
        <v>#N/A</v>
      </c>
      <c r="Q82" s="20" t="s">
        <v>5</v>
      </c>
      <c r="R82" s="20" t="s">
        <v>5</v>
      </c>
      <c r="U82" s="20"/>
      <c r="V82" s="20" t="s">
        <v>5</v>
      </c>
      <c r="W82" s="20" t="s">
        <v>5</v>
      </c>
      <c r="X82" s="27" t="s">
        <v>5</v>
      </c>
      <c r="Y82" s="28" t="s">
        <v>5</v>
      </c>
      <c r="Z82" s="27" t="s">
        <v>5</v>
      </c>
      <c r="AA82" s="28" t="s">
        <v>5</v>
      </c>
      <c r="AB82" s="27" t="s">
        <v>5</v>
      </c>
      <c r="AC82" s="27" t="s">
        <v>5</v>
      </c>
      <c r="AD82" s="27" t="s">
        <v>5</v>
      </c>
      <c r="AE82" s="27" t="s">
        <v>5</v>
      </c>
      <c r="AF82" s="27" t="s">
        <v>5</v>
      </c>
      <c r="AG82" s="27" t="s">
        <v>5</v>
      </c>
      <c r="AH82" s="20" t="s">
        <v>5</v>
      </c>
      <c r="AI82" s="20" t="s">
        <v>5</v>
      </c>
      <c r="AJ82" s="20" t="s">
        <v>5</v>
      </c>
      <c r="AK82" s="20" t="s">
        <v>5</v>
      </c>
    </row>
    <row r="83" spans="2:37" ht="12.5">
      <c r="B83" s="20" t="str">
        <f ca="1">IFERROR(__xludf.DUMMYFUNCTION("""COMPUTED_VALUE"""),"網干高")</f>
        <v>網干高</v>
      </c>
      <c r="C83" s="20" t="e">
        <f ca="1"/>
        <v>#N/A</v>
      </c>
      <c r="D83" s="20" t="e">
        <f ca="1"/>
        <v>#REF!</v>
      </c>
      <c r="E83" s="27" t="e">
        <f ca="1"/>
        <v>#REF!</v>
      </c>
      <c r="F83" s="28" t="e">
        <f ca="1"/>
        <v>#REF!</v>
      </c>
      <c r="G83" s="27" t="e">
        <f ca="1"/>
        <v>#REF!</v>
      </c>
      <c r="H83" s="28" t="e">
        <f ca="1"/>
        <v>#REF!</v>
      </c>
      <c r="I83" s="27" t="e">
        <f ca="1"/>
        <v>#REF!</v>
      </c>
      <c r="J83" s="27" t="e">
        <f ca="1"/>
        <v>#REF!</v>
      </c>
      <c r="K83" s="27" t="e">
        <f ca="1"/>
        <v>#REF!</v>
      </c>
      <c r="L83" s="27" t="e">
        <f ca="1"/>
        <v>#REF!</v>
      </c>
      <c r="M83" s="27" t="e">
        <f ca="1"/>
        <v>#REF!</v>
      </c>
      <c r="N83" s="27" t="e">
        <f ca="1"/>
        <v>#REF!</v>
      </c>
      <c r="O83" s="20" t="e">
        <f ca="1"/>
        <v>#N/A</v>
      </c>
      <c r="P83" s="20" t="e">
        <f ca="1"/>
        <v>#N/A</v>
      </c>
      <c r="Q83" s="20" t="s">
        <v>5</v>
      </c>
      <c r="R83" s="20" t="s">
        <v>5</v>
      </c>
      <c r="U83" s="20"/>
      <c r="V83" s="20" t="s">
        <v>5</v>
      </c>
      <c r="W83" s="20" t="s">
        <v>5</v>
      </c>
      <c r="X83" s="27" t="s">
        <v>5</v>
      </c>
      <c r="Y83" s="28" t="s">
        <v>5</v>
      </c>
      <c r="Z83" s="27" t="s">
        <v>5</v>
      </c>
      <c r="AA83" s="28" t="s">
        <v>5</v>
      </c>
      <c r="AB83" s="27" t="s">
        <v>5</v>
      </c>
      <c r="AC83" s="27" t="s">
        <v>5</v>
      </c>
      <c r="AD83" s="27" t="s">
        <v>5</v>
      </c>
      <c r="AE83" s="27" t="s">
        <v>5</v>
      </c>
      <c r="AF83" s="27" t="s">
        <v>5</v>
      </c>
      <c r="AG83" s="27" t="s">
        <v>5</v>
      </c>
      <c r="AH83" s="20" t="s">
        <v>5</v>
      </c>
      <c r="AI83" s="20" t="s">
        <v>5</v>
      </c>
      <c r="AJ83" s="20" t="s">
        <v>5</v>
      </c>
      <c r="AK83" s="20" t="s">
        <v>5</v>
      </c>
    </row>
    <row r="84" spans="2:37" ht="12.5">
      <c r="B84" s="20" t="str">
        <f ca="1">IFERROR(__xludf.DUMMYFUNCTION("""COMPUTED_VALUE"""),"畝傍高")</f>
        <v>畝傍高</v>
      </c>
      <c r="C84" s="20" t="e">
        <f ca="1"/>
        <v>#N/A</v>
      </c>
      <c r="D84" s="20" t="e">
        <f ca="1"/>
        <v>#REF!</v>
      </c>
      <c r="E84" s="27" t="e">
        <f ca="1"/>
        <v>#REF!</v>
      </c>
      <c r="F84" s="28" t="e">
        <f ca="1"/>
        <v>#REF!</v>
      </c>
      <c r="G84" s="27" t="e">
        <f ca="1"/>
        <v>#REF!</v>
      </c>
      <c r="H84" s="28" t="e">
        <f ca="1"/>
        <v>#REF!</v>
      </c>
      <c r="I84" s="27" t="e">
        <f ca="1"/>
        <v>#REF!</v>
      </c>
      <c r="J84" s="27" t="e">
        <f ca="1"/>
        <v>#REF!</v>
      </c>
      <c r="K84" s="27" t="e">
        <f ca="1"/>
        <v>#REF!</v>
      </c>
      <c r="L84" s="27" t="e">
        <f ca="1"/>
        <v>#REF!</v>
      </c>
      <c r="M84" s="27" t="e">
        <f ca="1"/>
        <v>#REF!</v>
      </c>
      <c r="N84" s="27" t="e">
        <f ca="1"/>
        <v>#REF!</v>
      </c>
      <c r="O84" s="20" t="e">
        <f ca="1"/>
        <v>#N/A</v>
      </c>
      <c r="P84" s="20" t="e">
        <f ca="1"/>
        <v>#N/A</v>
      </c>
      <c r="Q84" s="20" t="s">
        <v>5</v>
      </c>
      <c r="R84" s="20" t="s">
        <v>5</v>
      </c>
      <c r="U84" s="20"/>
      <c r="V84" s="20" t="s">
        <v>5</v>
      </c>
      <c r="W84" s="20" t="s">
        <v>5</v>
      </c>
      <c r="X84" s="27" t="s">
        <v>5</v>
      </c>
      <c r="Y84" s="28" t="s">
        <v>5</v>
      </c>
      <c r="Z84" s="27" t="s">
        <v>5</v>
      </c>
      <c r="AA84" s="28" t="s">
        <v>5</v>
      </c>
      <c r="AB84" s="27" t="s">
        <v>5</v>
      </c>
      <c r="AC84" s="27" t="s">
        <v>5</v>
      </c>
      <c r="AD84" s="27" t="s">
        <v>5</v>
      </c>
      <c r="AE84" s="27" t="s">
        <v>5</v>
      </c>
      <c r="AF84" s="27" t="s">
        <v>5</v>
      </c>
      <c r="AG84" s="27" t="s">
        <v>5</v>
      </c>
      <c r="AH84" s="20" t="s">
        <v>5</v>
      </c>
      <c r="AI84" s="20" t="s">
        <v>5</v>
      </c>
      <c r="AJ84" s="20" t="s">
        <v>5</v>
      </c>
      <c r="AK84" s="20" t="s">
        <v>5</v>
      </c>
    </row>
    <row r="85" spans="2:37" ht="12.5">
      <c r="B85" s="20" t="str">
        <f ca="1">IFERROR(__xludf.DUMMYFUNCTION("""COMPUTED_VALUE"""),"青翔開智高")</f>
        <v>青翔開智高</v>
      </c>
      <c r="C85" s="20" t="e">
        <f ca="1"/>
        <v>#N/A</v>
      </c>
      <c r="D85" s="20" t="e">
        <f ca="1"/>
        <v>#REF!</v>
      </c>
      <c r="E85" s="27" t="e">
        <f ca="1"/>
        <v>#REF!</v>
      </c>
      <c r="F85" s="28" t="e">
        <f ca="1"/>
        <v>#REF!</v>
      </c>
      <c r="G85" s="27" t="e">
        <f ca="1"/>
        <v>#REF!</v>
      </c>
      <c r="H85" s="28" t="e">
        <f ca="1"/>
        <v>#REF!</v>
      </c>
      <c r="I85" s="27" t="e">
        <f ca="1"/>
        <v>#REF!</v>
      </c>
      <c r="J85" s="27" t="e">
        <f ca="1"/>
        <v>#REF!</v>
      </c>
      <c r="K85" s="27" t="e">
        <f ca="1"/>
        <v>#REF!</v>
      </c>
      <c r="L85" s="27" t="e">
        <f ca="1"/>
        <v>#REF!</v>
      </c>
      <c r="M85" s="27" t="e">
        <f ca="1"/>
        <v>#REF!</v>
      </c>
      <c r="N85" s="27" t="e">
        <f ca="1"/>
        <v>#REF!</v>
      </c>
      <c r="O85" s="20" t="e">
        <f ca="1"/>
        <v>#N/A</v>
      </c>
      <c r="P85" s="20" t="e">
        <f ca="1"/>
        <v>#N/A</v>
      </c>
      <c r="Q85" s="20" t="s">
        <v>5</v>
      </c>
      <c r="R85" s="20" t="s">
        <v>5</v>
      </c>
      <c r="U85" s="20"/>
      <c r="V85" s="20" t="s">
        <v>5</v>
      </c>
      <c r="W85" s="20" t="s">
        <v>5</v>
      </c>
      <c r="X85" s="27" t="s">
        <v>5</v>
      </c>
      <c r="Y85" s="28" t="s">
        <v>5</v>
      </c>
      <c r="Z85" s="27" t="s">
        <v>5</v>
      </c>
      <c r="AA85" s="28" t="s">
        <v>5</v>
      </c>
      <c r="AB85" s="27" t="s">
        <v>5</v>
      </c>
      <c r="AC85" s="27" t="s">
        <v>5</v>
      </c>
      <c r="AD85" s="27" t="s">
        <v>5</v>
      </c>
      <c r="AE85" s="27" t="s">
        <v>5</v>
      </c>
      <c r="AF85" s="27" t="s">
        <v>5</v>
      </c>
      <c r="AG85" s="27" t="s">
        <v>5</v>
      </c>
      <c r="AH85" s="20" t="s">
        <v>5</v>
      </c>
      <c r="AI85" s="20" t="s">
        <v>5</v>
      </c>
      <c r="AJ85" s="20" t="s">
        <v>5</v>
      </c>
      <c r="AK85" s="20" t="s">
        <v>5</v>
      </c>
    </row>
    <row r="86" spans="2:37" ht="12.5">
      <c r="B86" s="20" t="str">
        <f ca="1">IFERROR(__xludf.DUMMYFUNCTION("""COMPUTED_VALUE"""),"倉敷青陵高")</f>
        <v>倉敷青陵高</v>
      </c>
      <c r="C86" s="20" t="e">
        <f ca="1"/>
        <v>#N/A</v>
      </c>
      <c r="D86" s="20" t="e">
        <f ca="1"/>
        <v>#REF!</v>
      </c>
      <c r="E86" s="27" t="e">
        <f ca="1"/>
        <v>#REF!</v>
      </c>
      <c r="F86" s="28" t="e">
        <f ca="1"/>
        <v>#REF!</v>
      </c>
      <c r="G86" s="27" t="e">
        <f ca="1"/>
        <v>#REF!</v>
      </c>
      <c r="H86" s="28" t="e">
        <f ca="1"/>
        <v>#REF!</v>
      </c>
      <c r="I86" s="27" t="e">
        <f ca="1"/>
        <v>#REF!</v>
      </c>
      <c r="J86" s="27" t="e">
        <f ca="1"/>
        <v>#REF!</v>
      </c>
      <c r="K86" s="27" t="e">
        <f ca="1"/>
        <v>#REF!</v>
      </c>
      <c r="L86" s="27" t="e">
        <f ca="1"/>
        <v>#REF!</v>
      </c>
      <c r="M86" s="27" t="e">
        <f ca="1"/>
        <v>#REF!</v>
      </c>
      <c r="N86" s="27" t="e">
        <f ca="1"/>
        <v>#REF!</v>
      </c>
      <c r="O86" s="20" t="e">
        <f ca="1"/>
        <v>#N/A</v>
      </c>
      <c r="P86" s="20" t="e">
        <f ca="1"/>
        <v>#N/A</v>
      </c>
      <c r="Q86" s="20" t="s">
        <v>5</v>
      </c>
      <c r="R86" s="20" t="s">
        <v>5</v>
      </c>
      <c r="U86" s="20"/>
      <c r="V86" s="20" t="s">
        <v>5</v>
      </c>
      <c r="W86" s="20" t="s">
        <v>5</v>
      </c>
      <c r="X86" s="27" t="s">
        <v>5</v>
      </c>
      <c r="Y86" s="28" t="s">
        <v>5</v>
      </c>
      <c r="Z86" s="27" t="s">
        <v>5</v>
      </c>
      <c r="AA86" s="28" t="s">
        <v>5</v>
      </c>
      <c r="AB86" s="27" t="s">
        <v>5</v>
      </c>
      <c r="AC86" s="27" t="s">
        <v>5</v>
      </c>
      <c r="AD86" s="27" t="s">
        <v>5</v>
      </c>
      <c r="AE86" s="27" t="s">
        <v>5</v>
      </c>
      <c r="AF86" s="27" t="s">
        <v>5</v>
      </c>
      <c r="AG86" s="27" t="s">
        <v>5</v>
      </c>
      <c r="AH86" s="20" t="s">
        <v>5</v>
      </c>
      <c r="AI86" s="20" t="s">
        <v>5</v>
      </c>
      <c r="AJ86" s="20" t="s">
        <v>5</v>
      </c>
      <c r="AK86" s="20" t="s">
        <v>5</v>
      </c>
    </row>
    <row r="87" spans="2:37" ht="12.5">
      <c r="B87" s="20" t="str">
        <f ca="1">IFERROR(__xludf.DUMMYFUNCTION("""COMPUTED_VALUE"""),"慶進高")</f>
        <v>慶進高</v>
      </c>
      <c r="C87" s="20" t="e">
        <f ca="1"/>
        <v>#N/A</v>
      </c>
      <c r="D87" s="20" t="e">
        <f ca="1"/>
        <v>#REF!</v>
      </c>
      <c r="E87" s="27" t="e">
        <f ca="1"/>
        <v>#REF!</v>
      </c>
      <c r="F87" s="28" t="e">
        <f ca="1"/>
        <v>#REF!</v>
      </c>
      <c r="G87" s="27" t="e">
        <f ca="1"/>
        <v>#REF!</v>
      </c>
      <c r="H87" s="28" t="e">
        <f ca="1"/>
        <v>#REF!</v>
      </c>
      <c r="I87" s="27" t="e">
        <f ca="1"/>
        <v>#REF!</v>
      </c>
      <c r="J87" s="27" t="e">
        <f ca="1"/>
        <v>#REF!</v>
      </c>
      <c r="K87" s="27" t="e">
        <f ca="1"/>
        <v>#REF!</v>
      </c>
      <c r="L87" s="27" t="e">
        <f ca="1"/>
        <v>#REF!</v>
      </c>
      <c r="M87" s="27" t="e">
        <f ca="1"/>
        <v>#REF!</v>
      </c>
      <c r="N87" s="27" t="e">
        <f ca="1"/>
        <v>#REF!</v>
      </c>
      <c r="O87" s="20" t="e">
        <f ca="1"/>
        <v>#N/A</v>
      </c>
      <c r="P87" s="20" t="e">
        <f ca="1"/>
        <v>#N/A</v>
      </c>
      <c r="Q87" s="20" t="s">
        <v>5</v>
      </c>
      <c r="R87" s="20" t="s">
        <v>5</v>
      </c>
      <c r="U87" s="20"/>
      <c r="V87" s="20" t="s">
        <v>5</v>
      </c>
      <c r="W87" s="20" t="s">
        <v>5</v>
      </c>
      <c r="X87" s="27" t="s">
        <v>5</v>
      </c>
      <c r="Y87" s="28" t="s">
        <v>5</v>
      </c>
      <c r="Z87" s="27" t="s">
        <v>5</v>
      </c>
      <c r="AA87" s="28" t="s">
        <v>5</v>
      </c>
      <c r="AB87" s="27" t="s">
        <v>5</v>
      </c>
      <c r="AC87" s="27" t="s">
        <v>5</v>
      </c>
      <c r="AD87" s="27" t="s">
        <v>5</v>
      </c>
      <c r="AE87" s="27" t="s">
        <v>5</v>
      </c>
      <c r="AF87" s="27" t="s">
        <v>5</v>
      </c>
      <c r="AG87" s="27" t="s">
        <v>5</v>
      </c>
      <c r="AH87" s="20" t="s">
        <v>5</v>
      </c>
      <c r="AI87" s="20" t="s">
        <v>5</v>
      </c>
      <c r="AJ87" s="20" t="s">
        <v>5</v>
      </c>
      <c r="AK87" s="20" t="s">
        <v>5</v>
      </c>
    </row>
    <row r="88" spans="2:37" ht="12.5">
      <c r="B88" s="20" t="str">
        <f ca="1">IFERROR(__xludf.DUMMYFUNCTION("""COMPUTED_VALUE"""),"城北高")</f>
        <v>城北高</v>
      </c>
      <c r="C88" s="20" t="e">
        <f ca="1"/>
        <v>#N/A</v>
      </c>
      <c r="D88" s="20" t="e">
        <f ca="1"/>
        <v>#REF!</v>
      </c>
      <c r="E88" s="27" t="e">
        <f ca="1"/>
        <v>#REF!</v>
      </c>
      <c r="F88" s="28" t="e">
        <f ca="1"/>
        <v>#REF!</v>
      </c>
      <c r="G88" s="27" t="e">
        <f ca="1"/>
        <v>#REF!</v>
      </c>
      <c r="H88" s="28" t="e">
        <f ca="1"/>
        <v>#REF!</v>
      </c>
      <c r="I88" s="27" t="e">
        <f ca="1"/>
        <v>#REF!</v>
      </c>
      <c r="J88" s="27" t="e">
        <f ca="1"/>
        <v>#REF!</v>
      </c>
      <c r="K88" s="27" t="e">
        <f ca="1"/>
        <v>#REF!</v>
      </c>
      <c r="L88" s="27" t="e">
        <f ca="1"/>
        <v>#REF!</v>
      </c>
      <c r="M88" s="27" t="e">
        <f ca="1"/>
        <v>#REF!</v>
      </c>
      <c r="N88" s="27" t="e">
        <f ca="1"/>
        <v>#REF!</v>
      </c>
      <c r="O88" s="20" t="e">
        <f ca="1"/>
        <v>#N/A</v>
      </c>
      <c r="P88" s="20" t="e">
        <f ca="1"/>
        <v>#N/A</v>
      </c>
      <c r="Q88" s="20" t="s">
        <v>5</v>
      </c>
      <c r="R88" s="20" t="s">
        <v>5</v>
      </c>
      <c r="U88" s="20"/>
      <c r="V88" s="20" t="s">
        <v>5</v>
      </c>
      <c r="W88" s="20" t="s">
        <v>5</v>
      </c>
      <c r="X88" s="27" t="s">
        <v>5</v>
      </c>
      <c r="Y88" s="28" t="s">
        <v>5</v>
      </c>
      <c r="Z88" s="27" t="s">
        <v>5</v>
      </c>
      <c r="AA88" s="28" t="s">
        <v>5</v>
      </c>
      <c r="AB88" s="27" t="s">
        <v>5</v>
      </c>
      <c r="AC88" s="27" t="s">
        <v>5</v>
      </c>
      <c r="AD88" s="27" t="s">
        <v>5</v>
      </c>
      <c r="AE88" s="27" t="s">
        <v>5</v>
      </c>
      <c r="AF88" s="27" t="s">
        <v>5</v>
      </c>
      <c r="AG88" s="27" t="s">
        <v>5</v>
      </c>
      <c r="AH88" s="20" t="s">
        <v>5</v>
      </c>
      <c r="AI88" s="20" t="s">
        <v>5</v>
      </c>
      <c r="AJ88" s="20" t="s">
        <v>5</v>
      </c>
      <c r="AK88" s="20" t="s">
        <v>5</v>
      </c>
    </row>
    <row r="89" spans="2:37" ht="12.5">
      <c r="B89" s="20" t="str">
        <f ca="1">IFERROR(__xludf.DUMMYFUNCTION("""COMPUTED_VALUE"""),"筑紫丘高")</f>
        <v>筑紫丘高</v>
      </c>
      <c r="C89" s="20" t="e">
        <f ca="1"/>
        <v>#N/A</v>
      </c>
      <c r="D89" s="20" t="e">
        <f ca="1"/>
        <v>#REF!</v>
      </c>
      <c r="E89" s="27" t="e">
        <f ca="1"/>
        <v>#REF!</v>
      </c>
      <c r="F89" s="28" t="e">
        <f ca="1"/>
        <v>#REF!</v>
      </c>
      <c r="G89" s="27" t="e">
        <f ca="1"/>
        <v>#REF!</v>
      </c>
      <c r="H89" s="28" t="e">
        <f ca="1"/>
        <v>#REF!</v>
      </c>
      <c r="I89" s="27" t="e">
        <f ca="1"/>
        <v>#REF!</v>
      </c>
      <c r="J89" s="27" t="e">
        <f ca="1"/>
        <v>#REF!</v>
      </c>
      <c r="K89" s="27" t="e">
        <f ca="1"/>
        <v>#REF!</v>
      </c>
      <c r="L89" s="27" t="e">
        <f ca="1"/>
        <v>#REF!</v>
      </c>
      <c r="M89" s="27" t="e">
        <f ca="1"/>
        <v>#REF!</v>
      </c>
      <c r="N89" s="27" t="e">
        <f ca="1"/>
        <v>#REF!</v>
      </c>
      <c r="O89" s="20" t="e">
        <f ca="1"/>
        <v>#N/A</v>
      </c>
      <c r="P89" s="20" t="e">
        <f ca="1"/>
        <v>#N/A</v>
      </c>
      <c r="Q89" s="20" t="s">
        <v>5</v>
      </c>
      <c r="R89" s="20" t="s">
        <v>5</v>
      </c>
      <c r="U89" s="20"/>
      <c r="V89" s="20" t="s">
        <v>5</v>
      </c>
      <c r="W89" s="20" t="s">
        <v>5</v>
      </c>
      <c r="X89" s="27" t="s">
        <v>5</v>
      </c>
      <c r="Y89" s="28" t="s">
        <v>5</v>
      </c>
      <c r="Z89" s="27" t="s">
        <v>5</v>
      </c>
      <c r="AA89" s="28" t="s">
        <v>5</v>
      </c>
      <c r="AB89" s="27" t="s">
        <v>5</v>
      </c>
      <c r="AC89" s="27" t="s">
        <v>5</v>
      </c>
      <c r="AD89" s="27" t="s">
        <v>5</v>
      </c>
      <c r="AE89" s="27" t="s">
        <v>5</v>
      </c>
      <c r="AF89" s="27" t="s">
        <v>5</v>
      </c>
      <c r="AG89" s="27" t="s">
        <v>5</v>
      </c>
      <c r="AH89" s="20" t="s">
        <v>5</v>
      </c>
      <c r="AI89" s="20" t="s">
        <v>5</v>
      </c>
      <c r="AJ89" s="20" t="s">
        <v>5</v>
      </c>
      <c r="AK89" s="20" t="s">
        <v>5</v>
      </c>
    </row>
    <row r="90" spans="2:37" ht="12.5">
      <c r="B90" s="20" t="str">
        <f ca="1">IFERROR(__xludf.DUMMYFUNCTION("""COMPUTED_VALUE"""),"宮崎西高")</f>
        <v>宮崎西高</v>
      </c>
      <c r="C90" s="20" t="e">
        <f ca="1"/>
        <v>#N/A</v>
      </c>
      <c r="D90" s="20" t="e">
        <f ca="1"/>
        <v>#REF!</v>
      </c>
      <c r="E90" s="27" t="e">
        <f ca="1"/>
        <v>#REF!</v>
      </c>
      <c r="F90" s="28" t="e">
        <f ca="1"/>
        <v>#REF!</v>
      </c>
      <c r="G90" s="27" t="e">
        <f ca="1"/>
        <v>#REF!</v>
      </c>
      <c r="H90" s="28" t="e">
        <f ca="1"/>
        <v>#REF!</v>
      </c>
      <c r="I90" s="27" t="e">
        <f ca="1"/>
        <v>#REF!</v>
      </c>
      <c r="J90" s="27" t="e">
        <f ca="1"/>
        <v>#REF!</v>
      </c>
      <c r="K90" s="27" t="e">
        <f ca="1"/>
        <v>#REF!</v>
      </c>
      <c r="L90" s="27" t="e">
        <f ca="1"/>
        <v>#REF!</v>
      </c>
      <c r="M90" s="27" t="e">
        <f ca="1"/>
        <v>#REF!</v>
      </c>
      <c r="N90" s="27" t="e">
        <f ca="1"/>
        <v>#REF!</v>
      </c>
      <c r="O90" s="20" t="e">
        <f ca="1"/>
        <v>#N/A</v>
      </c>
      <c r="P90" s="20" t="e">
        <f ca="1"/>
        <v>#N/A</v>
      </c>
      <c r="Q90" s="20" t="s">
        <v>5</v>
      </c>
      <c r="R90" s="20" t="s">
        <v>5</v>
      </c>
      <c r="U90" s="20"/>
      <c r="V90" s="20" t="s">
        <v>5</v>
      </c>
      <c r="W90" s="20" t="s">
        <v>5</v>
      </c>
      <c r="X90" s="27" t="s">
        <v>5</v>
      </c>
      <c r="Y90" s="28" t="s">
        <v>5</v>
      </c>
      <c r="Z90" s="27" t="s">
        <v>5</v>
      </c>
      <c r="AA90" s="28" t="s">
        <v>5</v>
      </c>
      <c r="AB90" s="27" t="s">
        <v>5</v>
      </c>
      <c r="AC90" s="27" t="s">
        <v>5</v>
      </c>
      <c r="AD90" s="27" t="s">
        <v>5</v>
      </c>
      <c r="AE90" s="27" t="s">
        <v>5</v>
      </c>
      <c r="AF90" s="27" t="s">
        <v>5</v>
      </c>
      <c r="AG90" s="27" t="s">
        <v>5</v>
      </c>
      <c r="AH90" s="20" t="s">
        <v>5</v>
      </c>
      <c r="AI90" s="20" t="s">
        <v>5</v>
      </c>
      <c r="AJ90" s="20" t="s">
        <v>5</v>
      </c>
      <c r="AK90" s="20" t="s">
        <v>5</v>
      </c>
    </row>
    <row r="91" spans="2:37" ht="12.5">
      <c r="B91" s="20" t="str">
        <f ca="1">IFERROR(__xludf.DUMMYFUNCTION("""COMPUTED_VALUE"""),"鶴丸高")</f>
        <v>鶴丸高</v>
      </c>
      <c r="C91" s="20" t="e">
        <f ca="1"/>
        <v>#N/A</v>
      </c>
      <c r="D91" s="20" t="e">
        <f ca="1"/>
        <v>#REF!</v>
      </c>
      <c r="E91" s="27" t="e">
        <f ca="1"/>
        <v>#REF!</v>
      </c>
      <c r="F91" s="28" t="e">
        <f ca="1"/>
        <v>#REF!</v>
      </c>
      <c r="G91" s="27" t="e">
        <f ca="1"/>
        <v>#REF!</v>
      </c>
      <c r="H91" s="28" t="e">
        <f ca="1"/>
        <v>#REF!</v>
      </c>
      <c r="I91" s="27" t="e">
        <f ca="1"/>
        <v>#REF!</v>
      </c>
      <c r="J91" s="27" t="e">
        <f ca="1"/>
        <v>#REF!</v>
      </c>
      <c r="K91" s="27" t="e">
        <f ca="1"/>
        <v>#REF!</v>
      </c>
      <c r="L91" s="27" t="e">
        <f ca="1"/>
        <v>#REF!</v>
      </c>
      <c r="M91" s="27" t="e">
        <f ca="1"/>
        <v>#REF!</v>
      </c>
      <c r="N91" s="27" t="e">
        <f ca="1"/>
        <v>#REF!</v>
      </c>
      <c r="O91" s="20" t="e">
        <f ca="1"/>
        <v>#N/A</v>
      </c>
      <c r="P91" s="20" t="e">
        <f ca="1"/>
        <v>#N/A</v>
      </c>
      <c r="Q91" s="20" t="s">
        <v>5</v>
      </c>
      <c r="R91" s="20" t="s">
        <v>5</v>
      </c>
      <c r="U91" s="20"/>
      <c r="V91" s="20" t="s">
        <v>5</v>
      </c>
      <c r="W91" s="20" t="s">
        <v>5</v>
      </c>
      <c r="X91" s="27" t="s">
        <v>5</v>
      </c>
      <c r="Y91" s="28" t="s">
        <v>5</v>
      </c>
      <c r="Z91" s="27" t="s">
        <v>5</v>
      </c>
      <c r="AA91" s="28" t="s">
        <v>5</v>
      </c>
      <c r="AB91" s="27" t="s">
        <v>5</v>
      </c>
      <c r="AC91" s="27" t="s">
        <v>5</v>
      </c>
      <c r="AD91" s="27" t="s">
        <v>5</v>
      </c>
      <c r="AE91" s="27" t="s">
        <v>5</v>
      </c>
      <c r="AF91" s="27" t="s">
        <v>5</v>
      </c>
      <c r="AG91" s="27" t="s">
        <v>5</v>
      </c>
      <c r="AH91" s="20" t="s">
        <v>5</v>
      </c>
      <c r="AI91" s="20" t="s">
        <v>5</v>
      </c>
      <c r="AJ91" s="20" t="s">
        <v>5</v>
      </c>
      <c r="AK91" s="20" t="s">
        <v>5</v>
      </c>
    </row>
    <row r="92" spans="2:37" ht="12.5">
      <c r="B92" s="20" t="str">
        <f ca="1">IFERROR(__xludf.DUMMYFUNCTION("""COMPUTED_VALUE"""),"立命館慶祥高")</f>
        <v>立命館慶祥高</v>
      </c>
      <c r="C92" s="20" t="e">
        <f ca="1"/>
        <v>#N/A</v>
      </c>
      <c r="D92" s="20" t="e">
        <f ca="1"/>
        <v>#REF!</v>
      </c>
      <c r="E92" s="27" t="e">
        <f ca="1"/>
        <v>#REF!</v>
      </c>
      <c r="F92" s="28" t="e">
        <f ca="1"/>
        <v>#REF!</v>
      </c>
      <c r="G92" s="27" t="e">
        <f ca="1"/>
        <v>#REF!</v>
      </c>
      <c r="H92" s="28" t="e">
        <f ca="1"/>
        <v>#REF!</v>
      </c>
      <c r="I92" s="27" t="e">
        <f ca="1"/>
        <v>#REF!</v>
      </c>
      <c r="J92" s="27" t="e">
        <f ca="1"/>
        <v>#REF!</v>
      </c>
      <c r="K92" s="27" t="e">
        <f ca="1"/>
        <v>#REF!</v>
      </c>
      <c r="L92" s="27" t="e">
        <f ca="1"/>
        <v>#REF!</v>
      </c>
      <c r="M92" s="27" t="e">
        <f ca="1"/>
        <v>#REF!</v>
      </c>
      <c r="N92" s="27" t="e">
        <f ca="1"/>
        <v>#REF!</v>
      </c>
      <c r="O92" s="20" t="e">
        <f ca="1"/>
        <v>#N/A</v>
      </c>
      <c r="P92" s="20" t="e">
        <f ca="1"/>
        <v>#N/A</v>
      </c>
      <c r="Q92" s="20" t="s">
        <v>5</v>
      </c>
      <c r="R92" s="20" t="s">
        <v>5</v>
      </c>
      <c r="U92" s="20"/>
      <c r="V92" s="20" t="s">
        <v>5</v>
      </c>
      <c r="W92" s="20" t="s">
        <v>5</v>
      </c>
      <c r="X92" s="27" t="s">
        <v>5</v>
      </c>
      <c r="Y92" s="28" t="s">
        <v>5</v>
      </c>
      <c r="Z92" s="27" t="s">
        <v>5</v>
      </c>
      <c r="AA92" s="28" t="s">
        <v>5</v>
      </c>
      <c r="AB92" s="27" t="s">
        <v>5</v>
      </c>
      <c r="AC92" s="27" t="s">
        <v>5</v>
      </c>
      <c r="AD92" s="27" t="s">
        <v>5</v>
      </c>
      <c r="AE92" s="27" t="s">
        <v>5</v>
      </c>
      <c r="AF92" s="27" t="s">
        <v>5</v>
      </c>
      <c r="AG92" s="27" t="s">
        <v>5</v>
      </c>
      <c r="AH92" s="20" t="s">
        <v>5</v>
      </c>
      <c r="AI92" s="20" t="s">
        <v>5</v>
      </c>
      <c r="AJ92" s="20" t="s">
        <v>5</v>
      </c>
      <c r="AK92" s="20" t="s">
        <v>5</v>
      </c>
    </row>
    <row r="93" spans="2:37" ht="12.5">
      <c r="B93" s="20" t="str">
        <f ca="1">IFERROR(__xludf.DUMMYFUNCTION("""COMPUTED_VALUE"""),"仙台第二高")</f>
        <v>仙台第二高</v>
      </c>
      <c r="C93" s="20" t="e">
        <f ca="1"/>
        <v>#N/A</v>
      </c>
      <c r="D93" s="20" t="e">
        <f ca="1"/>
        <v>#REF!</v>
      </c>
      <c r="E93" s="27" t="e">
        <f ca="1"/>
        <v>#REF!</v>
      </c>
      <c r="F93" s="28" t="e">
        <f ca="1"/>
        <v>#REF!</v>
      </c>
      <c r="G93" s="27" t="e">
        <f ca="1"/>
        <v>#REF!</v>
      </c>
      <c r="H93" s="28" t="e">
        <f ca="1"/>
        <v>#REF!</v>
      </c>
      <c r="I93" s="27" t="e">
        <f ca="1"/>
        <v>#REF!</v>
      </c>
      <c r="J93" s="27" t="e">
        <f ca="1"/>
        <v>#REF!</v>
      </c>
      <c r="K93" s="27" t="e">
        <f ca="1"/>
        <v>#REF!</v>
      </c>
      <c r="L93" s="27" t="e">
        <f ca="1"/>
        <v>#REF!</v>
      </c>
      <c r="M93" s="27" t="e">
        <f ca="1"/>
        <v>#REF!</v>
      </c>
      <c r="N93" s="27" t="e">
        <f ca="1"/>
        <v>#REF!</v>
      </c>
      <c r="O93" s="20" t="e">
        <f ca="1"/>
        <v>#N/A</v>
      </c>
      <c r="P93" s="20" t="e">
        <f ca="1"/>
        <v>#N/A</v>
      </c>
      <c r="Q93" s="20" t="s">
        <v>5</v>
      </c>
      <c r="R93" s="20" t="s">
        <v>5</v>
      </c>
      <c r="U93" s="20"/>
      <c r="V93" s="20" t="s">
        <v>5</v>
      </c>
      <c r="W93" s="20" t="s">
        <v>5</v>
      </c>
      <c r="X93" s="27" t="s">
        <v>5</v>
      </c>
      <c r="Y93" s="28" t="s">
        <v>5</v>
      </c>
      <c r="Z93" s="27" t="s">
        <v>5</v>
      </c>
      <c r="AA93" s="28" t="s">
        <v>5</v>
      </c>
      <c r="AB93" s="27" t="s">
        <v>5</v>
      </c>
      <c r="AC93" s="27" t="s">
        <v>5</v>
      </c>
      <c r="AD93" s="27" t="s">
        <v>5</v>
      </c>
      <c r="AE93" s="27" t="s">
        <v>5</v>
      </c>
      <c r="AF93" s="27" t="s">
        <v>5</v>
      </c>
      <c r="AG93" s="27" t="s">
        <v>5</v>
      </c>
      <c r="AH93" s="20" t="s">
        <v>5</v>
      </c>
      <c r="AI93" s="20" t="s">
        <v>5</v>
      </c>
      <c r="AJ93" s="20" t="s">
        <v>5</v>
      </c>
      <c r="AK93" s="20" t="s">
        <v>5</v>
      </c>
    </row>
    <row r="94" spans="2:37" ht="12.5">
      <c r="B94" s="20" t="str">
        <f ca="1">IFERROR(__xludf.DUMMYFUNCTION("""COMPUTED_VALUE"""),"高崎女子高")</f>
        <v>高崎女子高</v>
      </c>
      <c r="C94" s="20" t="e">
        <f ca="1"/>
        <v>#N/A</v>
      </c>
      <c r="D94" s="20" t="e">
        <f ca="1"/>
        <v>#REF!</v>
      </c>
      <c r="E94" s="27" t="e">
        <f ca="1"/>
        <v>#REF!</v>
      </c>
      <c r="F94" s="28" t="e">
        <f ca="1"/>
        <v>#REF!</v>
      </c>
      <c r="G94" s="27" t="e">
        <f ca="1"/>
        <v>#REF!</v>
      </c>
      <c r="H94" s="28" t="e">
        <f ca="1"/>
        <v>#REF!</v>
      </c>
      <c r="I94" s="27" t="e">
        <f ca="1"/>
        <v>#REF!</v>
      </c>
      <c r="J94" s="27" t="e">
        <f ca="1"/>
        <v>#REF!</v>
      </c>
      <c r="K94" s="27" t="e">
        <f ca="1"/>
        <v>#REF!</v>
      </c>
      <c r="L94" s="27" t="e">
        <f ca="1"/>
        <v>#REF!</v>
      </c>
      <c r="M94" s="27" t="e">
        <f ca="1"/>
        <v>#REF!</v>
      </c>
      <c r="N94" s="27" t="e">
        <f ca="1"/>
        <v>#REF!</v>
      </c>
      <c r="O94" s="20" t="e">
        <f ca="1"/>
        <v>#N/A</v>
      </c>
      <c r="P94" s="20" t="e">
        <f ca="1"/>
        <v>#N/A</v>
      </c>
      <c r="Q94" s="20" t="s">
        <v>5</v>
      </c>
      <c r="R94" s="20" t="s">
        <v>5</v>
      </c>
      <c r="U94" s="20"/>
      <c r="V94" s="20" t="s">
        <v>5</v>
      </c>
      <c r="W94" s="20" t="s">
        <v>5</v>
      </c>
      <c r="X94" s="27" t="s">
        <v>5</v>
      </c>
      <c r="Y94" s="28" t="s">
        <v>5</v>
      </c>
      <c r="Z94" s="27" t="s">
        <v>5</v>
      </c>
      <c r="AA94" s="28" t="s">
        <v>5</v>
      </c>
      <c r="AB94" s="27" t="s">
        <v>5</v>
      </c>
      <c r="AC94" s="27" t="s">
        <v>5</v>
      </c>
      <c r="AD94" s="27" t="s">
        <v>5</v>
      </c>
      <c r="AE94" s="27" t="s">
        <v>5</v>
      </c>
      <c r="AF94" s="27" t="s">
        <v>5</v>
      </c>
      <c r="AG94" s="27" t="s">
        <v>5</v>
      </c>
      <c r="AH94" s="20" t="s">
        <v>5</v>
      </c>
      <c r="AI94" s="20" t="s">
        <v>5</v>
      </c>
      <c r="AJ94" s="20" t="s">
        <v>5</v>
      </c>
      <c r="AK94" s="20" t="s">
        <v>5</v>
      </c>
    </row>
    <row r="95" spans="2:37" ht="12.5">
      <c r="B95" s="20" t="str">
        <f ca="1">IFERROR(__xludf.DUMMYFUNCTION("""COMPUTED_VALUE"""),"高崎健康福祉大高")</f>
        <v>高崎健康福祉大高</v>
      </c>
      <c r="C95" s="20" t="e">
        <f ca="1"/>
        <v>#N/A</v>
      </c>
      <c r="D95" s="20" t="e">
        <f ca="1"/>
        <v>#REF!</v>
      </c>
      <c r="E95" s="27" t="e">
        <f ca="1"/>
        <v>#REF!</v>
      </c>
      <c r="F95" s="28" t="e">
        <f ca="1"/>
        <v>#REF!</v>
      </c>
      <c r="G95" s="27" t="e">
        <f ca="1"/>
        <v>#REF!</v>
      </c>
      <c r="H95" s="28" t="e">
        <f ca="1"/>
        <v>#REF!</v>
      </c>
      <c r="I95" s="27" t="e">
        <f ca="1"/>
        <v>#REF!</v>
      </c>
      <c r="J95" s="27" t="e">
        <f ca="1"/>
        <v>#REF!</v>
      </c>
      <c r="K95" s="27" t="e">
        <f ca="1"/>
        <v>#REF!</v>
      </c>
      <c r="L95" s="27" t="e">
        <f ca="1"/>
        <v>#REF!</v>
      </c>
      <c r="M95" s="27" t="e">
        <f ca="1"/>
        <v>#REF!</v>
      </c>
      <c r="N95" s="27" t="e">
        <f ca="1"/>
        <v>#REF!</v>
      </c>
      <c r="O95" s="20" t="e">
        <f ca="1"/>
        <v>#N/A</v>
      </c>
      <c r="P95" s="20" t="e">
        <f ca="1"/>
        <v>#N/A</v>
      </c>
      <c r="Q95" s="20" t="s">
        <v>5</v>
      </c>
      <c r="R95" s="20" t="s">
        <v>5</v>
      </c>
      <c r="U95" s="20"/>
      <c r="V95" s="20" t="s">
        <v>5</v>
      </c>
      <c r="W95" s="20" t="s">
        <v>5</v>
      </c>
      <c r="X95" s="27" t="s">
        <v>5</v>
      </c>
      <c r="Y95" s="28" t="s">
        <v>5</v>
      </c>
      <c r="Z95" s="27" t="s">
        <v>5</v>
      </c>
      <c r="AA95" s="28" t="s">
        <v>5</v>
      </c>
      <c r="AB95" s="27" t="s">
        <v>5</v>
      </c>
      <c r="AC95" s="27" t="s">
        <v>5</v>
      </c>
      <c r="AD95" s="27" t="s">
        <v>5</v>
      </c>
      <c r="AE95" s="27" t="s">
        <v>5</v>
      </c>
      <c r="AF95" s="27" t="s">
        <v>5</v>
      </c>
      <c r="AG95" s="27" t="s">
        <v>5</v>
      </c>
      <c r="AH95" s="20" t="s">
        <v>5</v>
      </c>
      <c r="AI95" s="20" t="s">
        <v>5</v>
      </c>
      <c r="AJ95" s="20" t="s">
        <v>5</v>
      </c>
      <c r="AK95" s="20" t="s">
        <v>5</v>
      </c>
    </row>
    <row r="96" spans="2:37" ht="12.5">
      <c r="B96" s="20" t="str">
        <f ca="1">IFERROR(__xludf.DUMMYFUNCTION("""COMPUTED_VALUE"""),"渋谷教育学園幕張高")</f>
        <v>渋谷教育学園幕張高</v>
      </c>
      <c r="C96" s="20" t="e">
        <f ca="1"/>
        <v>#N/A</v>
      </c>
      <c r="D96" s="20" t="e">
        <f ca="1"/>
        <v>#REF!</v>
      </c>
      <c r="E96" s="27" t="e">
        <f ca="1"/>
        <v>#REF!</v>
      </c>
      <c r="F96" s="28" t="e">
        <f ca="1"/>
        <v>#REF!</v>
      </c>
      <c r="G96" s="27" t="e">
        <f ca="1"/>
        <v>#REF!</v>
      </c>
      <c r="H96" s="28" t="e">
        <f ca="1"/>
        <v>#REF!</v>
      </c>
      <c r="I96" s="27" t="e">
        <f ca="1"/>
        <v>#REF!</v>
      </c>
      <c r="J96" s="27" t="e">
        <f ca="1"/>
        <v>#REF!</v>
      </c>
      <c r="K96" s="27" t="e">
        <f ca="1"/>
        <v>#REF!</v>
      </c>
      <c r="L96" s="27" t="e">
        <f ca="1"/>
        <v>#REF!</v>
      </c>
      <c r="M96" s="27" t="e">
        <f ca="1"/>
        <v>#REF!</v>
      </c>
      <c r="N96" s="27" t="e">
        <f ca="1"/>
        <v>#REF!</v>
      </c>
      <c r="O96" s="20" t="e">
        <f ca="1"/>
        <v>#N/A</v>
      </c>
      <c r="P96" s="20" t="e">
        <f ca="1"/>
        <v>#N/A</v>
      </c>
      <c r="Q96" s="20" t="s">
        <v>5</v>
      </c>
      <c r="R96" s="20" t="s">
        <v>5</v>
      </c>
      <c r="U96" s="20"/>
      <c r="V96" s="20" t="s">
        <v>5</v>
      </c>
      <c r="W96" s="20" t="s">
        <v>5</v>
      </c>
      <c r="X96" s="27" t="s">
        <v>5</v>
      </c>
      <c r="Y96" s="28" t="s">
        <v>5</v>
      </c>
      <c r="Z96" s="27" t="s">
        <v>5</v>
      </c>
      <c r="AA96" s="28" t="s">
        <v>5</v>
      </c>
      <c r="AB96" s="27" t="s">
        <v>5</v>
      </c>
      <c r="AC96" s="27" t="s">
        <v>5</v>
      </c>
      <c r="AD96" s="27" t="s">
        <v>5</v>
      </c>
      <c r="AE96" s="27" t="s">
        <v>5</v>
      </c>
      <c r="AF96" s="27" t="s">
        <v>5</v>
      </c>
      <c r="AG96" s="27" t="s">
        <v>5</v>
      </c>
      <c r="AH96" s="20" t="s">
        <v>5</v>
      </c>
      <c r="AI96" s="20" t="s">
        <v>5</v>
      </c>
      <c r="AJ96" s="20" t="s">
        <v>5</v>
      </c>
      <c r="AK96" s="20" t="s">
        <v>5</v>
      </c>
    </row>
    <row r="97" spans="2:37" ht="12.5">
      <c r="B97" s="20" t="str">
        <f ca="1">IFERROR(__xludf.DUMMYFUNCTION("""COMPUTED_VALUE"""),"桜修館中等教育")</f>
        <v>桜修館中等教育</v>
      </c>
      <c r="C97" s="20" t="e">
        <f ca="1"/>
        <v>#N/A</v>
      </c>
      <c r="D97" s="20" t="e">
        <f ca="1"/>
        <v>#REF!</v>
      </c>
      <c r="E97" s="27" t="e">
        <f ca="1"/>
        <v>#REF!</v>
      </c>
      <c r="F97" s="28" t="e">
        <f ca="1"/>
        <v>#REF!</v>
      </c>
      <c r="G97" s="27" t="e">
        <f ca="1"/>
        <v>#REF!</v>
      </c>
      <c r="H97" s="28" t="e">
        <f ca="1"/>
        <v>#REF!</v>
      </c>
      <c r="I97" s="27" t="e">
        <f ca="1"/>
        <v>#REF!</v>
      </c>
      <c r="J97" s="27" t="e">
        <f ca="1"/>
        <v>#REF!</v>
      </c>
      <c r="K97" s="27" t="e">
        <f ca="1"/>
        <v>#REF!</v>
      </c>
      <c r="L97" s="27" t="e">
        <f ca="1"/>
        <v>#REF!</v>
      </c>
      <c r="M97" s="27" t="e">
        <f ca="1"/>
        <v>#REF!</v>
      </c>
      <c r="N97" s="27" t="e">
        <f ca="1"/>
        <v>#REF!</v>
      </c>
      <c r="O97" s="20" t="e">
        <f ca="1"/>
        <v>#N/A</v>
      </c>
      <c r="P97" s="20" t="e">
        <f ca="1"/>
        <v>#N/A</v>
      </c>
      <c r="Q97" s="20" t="s">
        <v>5</v>
      </c>
      <c r="R97" s="20" t="s">
        <v>5</v>
      </c>
      <c r="U97" s="20"/>
      <c r="V97" s="20" t="s">
        <v>5</v>
      </c>
      <c r="W97" s="20" t="s">
        <v>5</v>
      </c>
      <c r="X97" s="27" t="s">
        <v>5</v>
      </c>
      <c r="Y97" s="28" t="s">
        <v>5</v>
      </c>
      <c r="Z97" s="27" t="s">
        <v>5</v>
      </c>
      <c r="AA97" s="28" t="s">
        <v>5</v>
      </c>
      <c r="AB97" s="27" t="s">
        <v>5</v>
      </c>
      <c r="AC97" s="27" t="s">
        <v>5</v>
      </c>
      <c r="AD97" s="27" t="s">
        <v>5</v>
      </c>
      <c r="AE97" s="27" t="s">
        <v>5</v>
      </c>
      <c r="AF97" s="27" t="s">
        <v>5</v>
      </c>
      <c r="AG97" s="27" t="s">
        <v>5</v>
      </c>
      <c r="AH97" s="20" t="s">
        <v>5</v>
      </c>
      <c r="AI97" s="20" t="s">
        <v>5</v>
      </c>
      <c r="AJ97" s="20" t="s">
        <v>5</v>
      </c>
      <c r="AK97" s="20" t="s">
        <v>5</v>
      </c>
    </row>
    <row r="98" spans="2:37" ht="12.5">
      <c r="B98" s="20" t="str">
        <f ca="1">IFERROR(__xludf.DUMMYFUNCTION("""COMPUTED_VALUE"""),"桐蔭学園高")</f>
        <v>桐蔭学園高</v>
      </c>
      <c r="C98" s="20" t="e">
        <f ca="1"/>
        <v>#N/A</v>
      </c>
      <c r="D98" s="20" t="e">
        <f ca="1"/>
        <v>#REF!</v>
      </c>
      <c r="E98" s="27" t="e">
        <f ca="1"/>
        <v>#REF!</v>
      </c>
      <c r="F98" s="28" t="e">
        <f ca="1"/>
        <v>#REF!</v>
      </c>
      <c r="G98" s="27" t="e">
        <f ca="1"/>
        <v>#REF!</v>
      </c>
      <c r="H98" s="28" t="e">
        <f ca="1"/>
        <v>#REF!</v>
      </c>
      <c r="I98" s="27" t="e">
        <f ca="1"/>
        <v>#REF!</v>
      </c>
      <c r="J98" s="27" t="e">
        <f ca="1"/>
        <v>#REF!</v>
      </c>
      <c r="K98" s="27" t="e">
        <f ca="1"/>
        <v>#REF!</v>
      </c>
      <c r="L98" s="27" t="e">
        <f ca="1"/>
        <v>#REF!</v>
      </c>
      <c r="M98" s="27" t="e">
        <f ca="1"/>
        <v>#REF!</v>
      </c>
      <c r="N98" s="27" t="e">
        <f ca="1"/>
        <v>#REF!</v>
      </c>
      <c r="O98" s="20" t="e">
        <f ca="1"/>
        <v>#N/A</v>
      </c>
      <c r="P98" s="20" t="e">
        <f ca="1"/>
        <v>#N/A</v>
      </c>
      <c r="Q98" s="20" t="s">
        <v>5</v>
      </c>
      <c r="R98" s="20" t="s">
        <v>5</v>
      </c>
      <c r="U98" s="20"/>
      <c r="V98" s="20" t="s">
        <v>5</v>
      </c>
      <c r="W98" s="20" t="s">
        <v>5</v>
      </c>
      <c r="X98" s="27" t="s">
        <v>5</v>
      </c>
      <c r="Y98" s="28" t="s">
        <v>5</v>
      </c>
      <c r="Z98" s="27" t="s">
        <v>5</v>
      </c>
      <c r="AA98" s="28" t="s">
        <v>5</v>
      </c>
      <c r="AB98" s="27" t="s">
        <v>5</v>
      </c>
      <c r="AC98" s="27" t="s">
        <v>5</v>
      </c>
      <c r="AD98" s="27" t="s">
        <v>5</v>
      </c>
      <c r="AE98" s="27" t="s">
        <v>5</v>
      </c>
      <c r="AF98" s="27" t="s">
        <v>5</v>
      </c>
      <c r="AG98" s="27" t="s">
        <v>5</v>
      </c>
      <c r="AH98" s="20" t="s">
        <v>5</v>
      </c>
      <c r="AI98" s="20" t="s">
        <v>5</v>
      </c>
      <c r="AJ98" s="20" t="s">
        <v>5</v>
      </c>
      <c r="AK98" s="20" t="s">
        <v>5</v>
      </c>
    </row>
    <row r="99" spans="2:37" ht="12.5">
      <c r="B99" s="20" t="str">
        <f ca="1">IFERROR(__xludf.DUMMYFUNCTION("""COMPUTED_VALUE"""),"富山中部高")</f>
        <v>富山中部高</v>
      </c>
      <c r="C99" s="20" t="e">
        <f ca="1"/>
        <v>#N/A</v>
      </c>
      <c r="D99" s="20" t="e">
        <f ca="1"/>
        <v>#REF!</v>
      </c>
      <c r="E99" s="27" t="e">
        <f ca="1"/>
        <v>#REF!</v>
      </c>
      <c r="F99" s="28" t="e">
        <f ca="1"/>
        <v>#REF!</v>
      </c>
      <c r="G99" s="27" t="e">
        <f ca="1"/>
        <v>#REF!</v>
      </c>
      <c r="H99" s="28" t="e">
        <f ca="1"/>
        <v>#REF!</v>
      </c>
      <c r="I99" s="27" t="e">
        <f ca="1"/>
        <v>#REF!</v>
      </c>
      <c r="J99" s="27" t="e">
        <f ca="1"/>
        <v>#REF!</v>
      </c>
      <c r="K99" s="27" t="e">
        <f ca="1"/>
        <v>#REF!</v>
      </c>
      <c r="L99" s="27" t="e">
        <f ca="1"/>
        <v>#REF!</v>
      </c>
      <c r="M99" s="27" t="e">
        <f ca="1"/>
        <v>#REF!</v>
      </c>
      <c r="N99" s="27" t="e">
        <f ca="1"/>
        <v>#REF!</v>
      </c>
      <c r="O99" s="20" t="e">
        <f ca="1"/>
        <v>#N/A</v>
      </c>
      <c r="P99" s="20" t="e">
        <f ca="1"/>
        <v>#N/A</v>
      </c>
      <c r="Q99" s="20" t="s">
        <v>5</v>
      </c>
      <c r="R99" s="20" t="s">
        <v>5</v>
      </c>
      <c r="U99" s="20"/>
      <c r="V99" s="20" t="s">
        <v>5</v>
      </c>
      <c r="W99" s="20" t="s">
        <v>5</v>
      </c>
      <c r="X99" s="27" t="s">
        <v>5</v>
      </c>
      <c r="Y99" s="28" t="s">
        <v>5</v>
      </c>
      <c r="Z99" s="27" t="s">
        <v>5</v>
      </c>
      <c r="AA99" s="28" t="s">
        <v>5</v>
      </c>
      <c r="AB99" s="27" t="s">
        <v>5</v>
      </c>
      <c r="AC99" s="27" t="s">
        <v>5</v>
      </c>
      <c r="AD99" s="27" t="s">
        <v>5</v>
      </c>
      <c r="AE99" s="27" t="s">
        <v>5</v>
      </c>
      <c r="AF99" s="27" t="s">
        <v>5</v>
      </c>
      <c r="AG99" s="27" t="s">
        <v>5</v>
      </c>
      <c r="AH99" s="20" t="s">
        <v>5</v>
      </c>
      <c r="AI99" s="20" t="s">
        <v>5</v>
      </c>
      <c r="AJ99" s="20" t="s">
        <v>5</v>
      </c>
      <c r="AK99" s="20" t="s">
        <v>5</v>
      </c>
    </row>
    <row r="100" spans="2:37" ht="12.5">
      <c r="B100" s="20" t="str">
        <f ca="1">IFERROR(__xludf.DUMMYFUNCTION("""COMPUTED_VALUE"""),"金津高")</f>
        <v>金津高</v>
      </c>
      <c r="C100" s="20" t="e">
        <f ca="1"/>
        <v>#N/A</v>
      </c>
      <c r="D100" s="20" t="e">
        <f ca="1"/>
        <v>#REF!</v>
      </c>
      <c r="E100" s="27" t="e">
        <f ca="1"/>
        <v>#REF!</v>
      </c>
      <c r="F100" s="28" t="e">
        <f ca="1"/>
        <v>#REF!</v>
      </c>
      <c r="G100" s="27" t="e">
        <f ca="1"/>
        <v>#REF!</v>
      </c>
      <c r="H100" s="28" t="e">
        <f ca="1"/>
        <v>#REF!</v>
      </c>
      <c r="I100" s="27" t="e">
        <f ca="1"/>
        <v>#REF!</v>
      </c>
      <c r="J100" s="27" t="e">
        <f ca="1"/>
        <v>#REF!</v>
      </c>
      <c r="K100" s="27" t="e">
        <f ca="1"/>
        <v>#REF!</v>
      </c>
      <c r="L100" s="27" t="e">
        <f ca="1"/>
        <v>#REF!</v>
      </c>
      <c r="M100" s="27" t="e">
        <f ca="1"/>
        <v>#REF!</v>
      </c>
      <c r="N100" s="27" t="e">
        <f ca="1"/>
        <v>#REF!</v>
      </c>
      <c r="O100" s="20" t="e">
        <f ca="1"/>
        <v>#N/A</v>
      </c>
      <c r="P100" s="20" t="e">
        <f ca="1"/>
        <v>#N/A</v>
      </c>
      <c r="Q100" s="20" t="s">
        <v>5</v>
      </c>
      <c r="R100" s="20" t="s">
        <v>5</v>
      </c>
      <c r="U100" s="20"/>
      <c r="V100" s="20" t="s">
        <v>5</v>
      </c>
      <c r="W100" s="20" t="s">
        <v>5</v>
      </c>
      <c r="X100" s="27" t="s">
        <v>5</v>
      </c>
      <c r="Y100" s="28" t="s">
        <v>5</v>
      </c>
      <c r="Z100" s="27" t="s">
        <v>5</v>
      </c>
      <c r="AA100" s="28" t="s">
        <v>5</v>
      </c>
      <c r="AB100" s="27" t="s">
        <v>5</v>
      </c>
      <c r="AC100" s="27" t="s">
        <v>5</v>
      </c>
      <c r="AD100" s="27" t="s">
        <v>5</v>
      </c>
      <c r="AE100" s="27" t="s">
        <v>5</v>
      </c>
      <c r="AF100" s="27" t="s">
        <v>5</v>
      </c>
      <c r="AG100" s="27" t="s">
        <v>5</v>
      </c>
      <c r="AH100" s="20" t="s">
        <v>5</v>
      </c>
      <c r="AI100" s="20" t="s">
        <v>5</v>
      </c>
      <c r="AJ100" s="20" t="s">
        <v>5</v>
      </c>
      <c r="AK100" s="20" t="s">
        <v>5</v>
      </c>
    </row>
    <row r="101" spans="2:37" ht="12.5">
      <c r="B101" s="2" t="str">
        <f ca="1">IFERROR(__xludf.DUMMYFUNCTION("""COMPUTED_VALUE"""),"長野高")</f>
        <v>長野高</v>
      </c>
      <c r="C101" s="2" t="e">
        <f ca="1"/>
        <v>#N/A</v>
      </c>
      <c r="D101" s="2" t="e">
        <f ca="1"/>
        <v>#REF!</v>
      </c>
      <c r="E101" s="29" t="e">
        <f ca="1"/>
        <v>#REF!</v>
      </c>
      <c r="F101" s="30" t="e">
        <f ca="1"/>
        <v>#REF!</v>
      </c>
      <c r="G101" s="29" t="e">
        <f ca="1"/>
        <v>#REF!</v>
      </c>
      <c r="H101" s="30" t="e">
        <f ca="1"/>
        <v>#REF!</v>
      </c>
      <c r="I101" s="29" t="e">
        <f ca="1"/>
        <v>#REF!</v>
      </c>
      <c r="J101" s="29" t="e">
        <f ca="1"/>
        <v>#REF!</v>
      </c>
      <c r="K101" s="29" t="e">
        <f ca="1"/>
        <v>#REF!</v>
      </c>
      <c r="L101" s="29" t="e">
        <f ca="1"/>
        <v>#REF!</v>
      </c>
      <c r="M101" s="29" t="e">
        <f ca="1"/>
        <v>#REF!</v>
      </c>
      <c r="N101" s="29" t="e">
        <f ca="1"/>
        <v>#REF!</v>
      </c>
      <c r="O101" s="2" t="e">
        <f ca="1"/>
        <v>#N/A</v>
      </c>
      <c r="P101" s="2" t="e">
        <f ca="1"/>
        <v>#N/A</v>
      </c>
      <c r="Q101" s="2" t="s">
        <v>5</v>
      </c>
      <c r="R101" s="2" t="s">
        <v>5</v>
      </c>
      <c r="U101" s="2"/>
      <c r="V101" s="2" t="s">
        <v>5</v>
      </c>
      <c r="W101" s="2" t="s">
        <v>5</v>
      </c>
      <c r="X101" s="29" t="s">
        <v>5</v>
      </c>
      <c r="Y101" s="30" t="s">
        <v>5</v>
      </c>
      <c r="Z101" s="29" t="s">
        <v>5</v>
      </c>
      <c r="AA101" s="30" t="s">
        <v>5</v>
      </c>
      <c r="AB101" s="29" t="s">
        <v>5</v>
      </c>
      <c r="AC101" s="29" t="s">
        <v>5</v>
      </c>
      <c r="AD101" s="29" t="s">
        <v>5</v>
      </c>
      <c r="AE101" s="29" t="s">
        <v>5</v>
      </c>
      <c r="AF101" s="29" t="s">
        <v>5</v>
      </c>
      <c r="AG101" s="29" t="s">
        <v>5</v>
      </c>
      <c r="AH101" s="2" t="s">
        <v>5</v>
      </c>
      <c r="AI101" s="2" t="s">
        <v>5</v>
      </c>
      <c r="AJ101" s="2" t="s">
        <v>5</v>
      </c>
      <c r="AK101" s="2" t="s">
        <v>5</v>
      </c>
    </row>
    <row r="102" spans="2:37" ht="12.5">
      <c r="B102" s="2" t="str">
        <f ca="1">IFERROR(__xludf.DUMMYFUNCTION("""COMPUTED_VALUE"""),"静岡東高")</f>
        <v>静岡東高</v>
      </c>
      <c r="C102" s="2" t="e">
        <f ca="1"/>
        <v>#N/A</v>
      </c>
      <c r="D102" s="2" t="e">
        <f ca="1"/>
        <v>#REF!</v>
      </c>
      <c r="E102" s="29" t="e">
        <f ca="1"/>
        <v>#REF!</v>
      </c>
      <c r="F102" s="30" t="e">
        <f ca="1"/>
        <v>#REF!</v>
      </c>
      <c r="G102" s="29" t="e">
        <f ca="1"/>
        <v>#REF!</v>
      </c>
      <c r="H102" s="30" t="e">
        <f ca="1"/>
        <v>#REF!</v>
      </c>
      <c r="I102" s="29" t="e">
        <f ca="1"/>
        <v>#REF!</v>
      </c>
      <c r="J102" s="29" t="e">
        <f ca="1"/>
        <v>#REF!</v>
      </c>
      <c r="K102" s="29" t="e">
        <f ca="1"/>
        <v>#REF!</v>
      </c>
      <c r="L102" s="29" t="e">
        <f ca="1"/>
        <v>#REF!</v>
      </c>
      <c r="M102" s="29" t="e">
        <f ca="1"/>
        <v>#REF!</v>
      </c>
      <c r="N102" s="29" t="e">
        <f ca="1"/>
        <v>#REF!</v>
      </c>
      <c r="O102" s="2" t="e">
        <f ca="1"/>
        <v>#N/A</v>
      </c>
      <c r="P102" s="2" t="e">
        <f ca="1"/>
        <v>#N/A</v>
      </c>
      <c r="Q102" s="2" t="s">
        <v>5</v>
      </c>
      <c r="R102" s="2" t="s">
        <v>5</v>
      </c>
      <c r="U102" s="2"/>
      <c r="V102" s="2" t="s">
        <v>5</v>
      </c>
      <c r="W102" s="2" t="s">
        <v>5</v>
      </c>
      <c r="X102" s="29" t="s">
        <v>5</v>
      </c>
      <c r="Y102" s="30" t="s">
        <v>5</v>
      </c>
      <c r="Z102" s="29" t="s">
        <v>5</v>
      </c>
      <c r="AA102" s="30" t="s">
        <v>5</v>
      </c>
      <c r="AB102" s="29" t="s">
        <v>5</v>
      </c>
      <c r="AC102" s="29" t="s">
        <v>5</v>
      </c>
      <c r="AD102" s="29" t="s">
        <v>5</v>
      </c>
      <c r="AE102" s="29" t="s">
        <v>5</v>
      </c>
      <c r="AF102" s="29" t="s">
        <v>5</v>
      </c>
      <c r="AG102" s="29" t="s">
        <v>5</v>
      </c>
      <c r="AH102" s="2" t="s">
        <v>5</v>
      </c>
      <c r="AI102" s="2" t="s">
        <v>5</v>
      </c>
      <c r="AJ102" s="2" t="s">
        <v>5</v>
      </c>
      <c r="AK102" s="2" t="s">
        <v>5</v>
      </c>
    </row>
    <row r="103" spans="2:37" ht="12.5">
      <c r="B103" s="2" t="str">
        <f ca="1">IFERROR(__xludf.DUMMYFUNCTION("""COMPUTED_VALUE"""),"瑞陵高")</f>
        <v>瑞陵高</v>
      </c>
      <c r="C103" s="2" t="e">
        <f ca="1"/>
        <v>#N/A</v>
      </c>
      <c r="D103" s="2" t="e">
        <f ca="1"/>
        <v>#REF!</v>
      </c>
      <c r="E103" s="29" t="e">
        <f ca="1"/>
        <v>#REF!</v>
      </c>
      <c r="F103" s="30" t="e">
        <f ca="1"/>
        <v>#REF!</v>
      </c>
      <c r="G103" s="29" t="e">
        <f ca="1"/>
        <v>#REF!</v>
      </c>
      <c r="H103" s="30" t="e">
        <f ca="1"/>
        <v>#REF!</v>
      </c>
      <c r="I103" s="29" t="e">
        <f ca="1"/>
        <v>#REF!</v>
      </c>
      <c r="J103" s="29" t="e">
        <f ca="1"/>
        <v>#REF!</v>
      </c>
      <c r="K103" s="29" t="e">
        <f ca="1"/>
        <v>#REF!</v>
      </c>
      <c r="L103" s="29" t="e">
        <f ca="1"/>
        <v>#REF!</v>
      </c>
      <c r="M103" s="29" t="e">
        <f ca="1"/>
        <v>#REF!</v>
      </c>
      <c r="N103" s="29" t="e">
        <f ca="1"/>
        <v>#REF!</v>
      </c>
      <c r="O103" s="2" t="e">
        <f ca="1"/>
        <v>#N/A</v>
      </c>
      <c r="P103" s="2" t="e">
        <f ca="1"/>
        <v>#N/A</v>
      </c>
      <c r="Q103" s="2" t="s">
        <v>5</v>
      </c>
      <c r="R103" s="2" t="s">
        <v>5</v>
      </c>
      <c r="U103" s="2"/>
      <c r="V103" s="2" t="s">
        <v>5</v>
      </c>
      <c r="W103" s="2" t="s">
        <v>5</v>
      </c>
      <c r="X103" s="29" t="s">
        <v>5</v>
      </c>
      <c r="Y103" s="30" t="s">
        <v>5</v>
      </c>
      <c r="Z103" s="29" t="s">
        <v>5</v>
      </c>
      <c r="AA103" s="30" t="s">
        <v>5</v>
      </c>
      <c r="AB103" s="29" t="s">
        <v>5</v>
      </c>
      <c r="AC103" s="29" t="s">
        <v>5</v>
      </c>
      <c r="AD103" s="29" t="s">
        <v>5</v>
      </c>
      <c r="AE103" s="29" t="s">
        <v>5</v>
      </c>
      <c r="AF103" s="29" t="s">
        <v>5</v>
      </c>
      <c r="AG103" s="29" t="s">
        <v>5</v>
      </c>
      <c r="AH103" s="2" t="s">
        <v>5</v>
      </c>
      <c r="AI103" s="2" t="s">
        <v>5</v>
      </c>
      <c r="AJ103" s="2" t="s">
        <v>5</v>
      </c>
      <c r="AK103" s="2" t="s">
        <v>5</v>
      </c>
    </row>
    <row r="104" spans="2:37" ht="12.5">
      <c r="B104" s="2" t="str">
        <f ca="1">IFERROR(__xludf.DUMMYFUNCTION("""COMPUTED_VALUE"""),"松阪高")</f>
        <v>松阪高</v>
      </c>
      <c r="C104" s="2" t="e">
        <f ca="1"/>
        <v>#N/A</v>
      </c>
      <c r="D104" s="2" t="e">
        <f ca="1"/>
        <v>#REF!</v>
      </c>
      <c r="E104" s="29" t="e">
        <f ca="1"/>
        <v>#REF!</v>
      </c>
      <c r="F104" s="30" t="e">
        <f ca="1"/>
        <v>#REF!</v>
      </c>
      <c r="G104" s="29" t="e">
        <f ca="1"/>
        <v>#REF!</v>
      </c>
      <c r="H104" s="30" t="e">
        <f ca="1"/>
        <v>#REF!</v>
      </c>
      <c r="I104" s="29" t="e">
        <f ca="1"/>
        <v>#REF!</v>
      </c>
      <c r="J104" s="29" t="e">
        <f ca="1"/>
        <v>#REF!</v>
      </c>
      <c r="K104" s="29" t="e">
        <f ca="1"/>
        <v>#REF!</v>
      </c>
      <c r="L104" s="29" t="e">
        <f ca="1"/>
        <v>#REF!</v>
      </c>
      <c r="M104" s="29" t="e">
        <f ca="1"/>
        <v>#REF!</v>
      </c>
      <c r="N104" s="29" t="e">
        <f ca="1"/>
        <v>#REF!</v>
      </c>
      <c r="O104" s="2" t="e">
        <f ca="1"/>
        <v>#N/A</v>
      </c>
      <c r="P104" s="2" t="e">
        <f ca="1"/>
        <v>#N/A</v>
      </c>
      <c r="Q104" s="2" t="s">
        <v>5</v>
      </c>
      <c r="R104" s="2" t="s">
        <v>5</v>
      </c>
      <c r="U104" s="2"/>
      <c r="V104" s="2" t="s">
        <v>5</v>
      </c>
      <c r="W104" s="2" t="s">
        <v>5</v>
      </c>
      <c r="X104" s="29" t="s">
        <v>5</v>
      </c>
      <c r="Y104" s="30" t="s">
        <v>5</v>
      </c>
      <c r="Z104" s="29" t="s">
        <v>5</v>
      </c>
      <c r="AA104" s="30" t="s">
        <v>5</v>
      </c>
      <c r="AB104" s="29" t="s">
        <v>5</v>
      </c>
      <c r="AC104" s="29" t="s">
        <v>5</v>
      </c>
      <c r="AD104" s="29" t="s">
        <v>5</v>
      </c>
      <c r="AE104" s="29" t="s">
        <v>5</v>
      </c>
      <c r="AF104" s="29" t="s">
        <v>5</v>
      </c>
      <c r="AG104" s="29" t="s">
        <v>5</v>
      </c>
      <c r="AH104" s="2" t="s">
        <v>5</v>
      </c>
      <c r="AI104" s="2" t="s">
        <v>5</v>
      </c>
      <c r="AJ104" s="2" t="s">
        <v>5</v>
      </c>
      <c r="AK104" s="2" t="s">
        <v>5</v>
      </c>
    </row>
    <row r="105" spans="2:37" ht="12.5">
      <c r="B105" s="2" t="str">
        <f ca="1">IFERROR(__xludf.DUMMYFUNCTION("""COMPUTED_VALUE"""),"京都先端科学大附高")</f>
        <v>京都先端科学大附高</v>
      </c>
      <c r="C105" s="2" t="e">
        <f ca="1"/>
        <v>#N/A</v>
      </c>
      <c r="D105" s="2" t="e">
        <f ca="1"/>
        <v>#REF!</v>
      </c>
      <c r="E105" s="29" t="e">
        <f ca="1"/>
        <v>#REF!</v>
      </c>
      <c r="F105" s="30" t="e">
        <f ca="1"/>
        <v>#REF!</v>
      </c>
      <c r="G105" s="29" t="e">
        <f ca="1"/>
        <v>#REF!</v>
      </c>
      <c r="H105" s="30" t="e">
        <f ca="1"/>
        <v>#REF!</v>
      </c>
      <c r="I105" s="29" t="e">
        <f ca="1"/>
        <v>#REF!</v>
      </c>
      <c r="J105" s="29" t="e">
        <f ca="1"/>
        <v>#REF!</v>
      </c>
      <c r="K105" s="29" t="e">
        <f ca="1"/>
        <v>#REF!</v>
      </c>
      <c r="L105" s="29" t="e">
        <f ca="1"/>
        <v>#REF!</v>
      </c>
      <c r="M105" s="29" t="e">
        <f ca="1"/>
        <v>#REF!</v>
      </c>
      <c r="N105" s="29" t="e">
        <f ca="1"/>
        <v>#REF!</v>
      </c>
      <c r="O105" s="2" t="e">
        <f ca="1"/>
        <v>#N/A</v>
      </c>
      <c r="P105" s="2" t="e">
        <f ca="1"/>
        <v>#N/A</v>
      </c>
      <c r="Q105" s="2" t="s">
        <v>5</v>
      </c>
      <c r="R105" s="2" t="s">
        <v>5</v>
      </c>
      <c r="U105" s="2"/>
      <c r="V105" s="2" t="s">
        <v>5</v>
      </c>
      <c r="W105" s="2" t="s">
        <v>5</v>
      </c>
      <c r="X105" s="29" t="s">
        <v>5</v>
      </c>
      <c r="Y105" s="30" t="s">
        <v>5</v>
      </c>
      <c r="Z105" s="29" t="s">
        <v>5</v>
      </c>
      <c r="AA105" s="30" t="s">
        <v>5</v>
      </c>
      <c r="AB105" s="29" t="s">
        <v>5</v>
      </c>
      <c r="AC105" s="29" t="s">
        <v>5</v>
      </c>
      <c r="AD105" s="29" t="s">
        <v>5</v>
      </c>
      <c r="AE105" s="29" t="s">
        <v>5</v>
      </c>
      <c r="AF105" s="29" t="s">
        <v>5</v>
      </c>
      <c r="AG105" s="29" t="s">
        <v>5</v>
      </c>
      <c r="AH105" s="2" t="s">
        <v>5</v>
      </c>
      <c r="AI105" s="2" t="s">
        <v>5</v>
      </c>
      <c r="AJ105" s="2" t="s">
        <v>5</v>
      </c>
      <c r="AK105" s="2" t="s">
        <v>5</v>
      </c>
    </row>
    <row r="106" spans="2:37" ht="12.5">
      <c r="B106" s="2" t="str">
        <f ca="1">IFERROR(__xludf.DUMMYFUNCTION("""COMPUTED_VALUE"""),"洛北高")</f>
        <v>洛北高</v>
      </c>
      <c r="C106" s="2" t="e">
        <f ca="1"/>
        <v>#N/A</v>
      </c>
      <c r="D106" s="2" t="e">
        <f ca="1"/>
        <v>#REF!</v>
      </c>
      <c r="E106" s="29" t="e">
        <f ca="1"/>
        <v>#REF!</v>
      </c>
      <c r="F106" s="30" t="e">
        <f ca="1"/>
        <v>#REF!</v>
      </c>
      <c r="G106" s="29" t="e">
        <f ca="1"/>
        <v>#REF!</v>
      </c>
      <c r="H106" s="30" t="e">
        <f ca="1"/>
        <v>#REF!</v>
      </c>
      <c r="I106" s="29" t="e">
        <f ca="1"/>
        <v>#REF!</v>
      </c>
      <c r="J106" s="29" t="e">
        <f ca="1"/>
        <v>#REF!</v>
      </c>
      <c r="K106" s="29" t="e">
        <f ca="1"/>
        <v>#REF!</v>
      </c>
      <c r="L106" s="29" t="e">
        <f ca="1"/>
        <v>#REF!</v>
      </c>
      <c r="M106" s="29" t="e">
        <f ca="1"/>
        <v>#REF!</v>
      </c>
      <c r="N106" s="29" t="e">
        <f ca="1"/>
        <v>#REF!</v>
      </c>
      <c r="O106" s="2" t="e">
        <f ca="1"/>
        <v>#N/A</v>
      </c>
      <c r="P106" s="2" t="e">
        <f ca="1"/>
        <v>#N/A</v>
      </c>
      <c r="Q106" s="2" t="s">
        <v>5</v>
      </c>
      <c r="R106" s="2" t="s">
        <v>5</v>
      </c>
      <c r="U106" s="2"/>
      <c r="V106" s="2" t="s">
        <v>5</v>
      </c>
      <c r="W106" s="2" t="s">
        <v>5</v>
      </c>
      <c r="X106" s="29" t="s">
        <v>5</v>
      </c>
      <c r="Y106" s="30" t="s">
        <v>5</v>
      </c>
      <c r="Z106" s="29" t="s">
        <v>5</v>
      </c>
      <c r="AA106" s="30" t="s">
        <v>5</v>
      </c>
      <c r="AB106" s="29" t="s">
        <v>5</v>
      </c>
      <c r="AC106" s="29" t="s">
        <v>5</v>
      </c>
      <c r="AD106" s="29" t="s">
        <v>5</v>
      </c>
      <c r="AE106" s="29" t="s">
        <v>5</v>
      </c>
      <c r="AF106" s="29" t="s">
        <v>5</v>
      </c>
      <c r="AG106" s="29" t="s">
        <v>5</v>
      </c>
      <c r="AH106" s="2" t="s">
        <v>5</v>
      </c>
      <c r="AI106" s="2" t="s">
        <v>5</v>
      </c>
      <c r="AJ106" s="2" t="s">
        <v>5</v>
      </c>
      <c r="AK106" s="2" t="s">
        <v>5</v>
      </c>
    </row>
    <row r="107" spans="2:37" ht="12.5">
      <c r="B107" s="2" t="str">
        <f ca="1">IFERROR(__xludf.DUMMYFUNCTION("""COMPUTED_VALUE"""),"市西宮高")</f>
        <v>市西宮高</v>
      </c>
      <c r="C107" s="2" t="e">
        <f ca="1"/>
        <v>#N/A</v>
      </c>
      <c r="D107" s="2" t="e">
        <f ca="1"/>
        <v>#REF!</v>
      </c>
      <c r="E107" s="29" t="e">
        <f ca="1"/>
        <v>#REF!</v>
      </c>
      <c r="F107" s="30" t="e">
        <f ca="1"/>
        <v>#REF!</v>
      </c>
      <c r="G107" s="29" t="e">
        <f ca="1"/>
        <v>#REF!</v>
      </c>
      <c r="H107" s="30" t="e">
        <f ca="1"/>
        <v>#REF!</v>
      </c>
      <c r="I107" s="29" t="e">
        <f ca="1"/>
        <v>#REF!</v>
      </c>
      <c r="J107" s="29" t="e">
        <f ca="1"/>
        <v>#REF!</v>
      </c>
      <c r="K107" s="29" t="e">
        <f ca="1"/>
        <v>#REF!</v>
      </c>
      <c r="L107" s="29" t="e">
        <f ca="1"/>
        <v>#REF!</v>
      </c>
      <c r="M107" s="29" t="e">
        <f ca="1"/>
        <v>#REF!</v>
      </c>
      <c r="N107" s="29" t="e">
        <f ca="1"/>
        <v>#REF!</v>
      </c>
      <c r="O107" s="2" t="e">
        <f ca="1"/>
        <v>#N/A</v>
      </c>
      <c r="P107" s="2" t="e">
        <f ca="1"/>
        <v>#N/A</v>
      </c>
      <c r="Q107" s="2" t="s">
        <v>5</v>
      </c>
      <c r="R107" s="2" t="s">
        <v>5</v>
      </c>
      <c r="U107" s="2"/>
      <c r="V107" s="2" t="s">
        <v>5</v>
      </c>
      <c r="W107" s="2" t="s">
        <v>5</v>
      </c>
      <c r="X107" s="29" t="s">
        <v>5</v>
      </c>
      <c r="Y107" s="30" t="s">
        <v>5</v>
      </c>
      <c r="Z107" s="29" t="s">
        <v>5</v>
      </c>
      <c r="AA107" s="30" t="s">
        <v>5</v>
      </c>
      <c r="AB107" s="29" t="s">
        <v>5</v>
      </c>
      <c r="AC107" s="29" t="s">
        <v>5</v>
      </c>
      <c r="AD107" s="29" t="s">
        <v>5</v>
      </c>
      <c r="AE107" s="29" t="s">
        <v>5</v>
      </c>
      <c r="AF107" s="29" t="s">
        <v>5</v>
      </c>
      <c r="AG107" s="29" t="s">
        <v>5</v>
      </c>
      <c r="AH107" s="2" t="s">
        <v>5</v>
      </c>
      <c r="AI107" s="2" t="s">
        <v>5</v>
      </c>
      <c r="AJ107" s="2" t="s">
        <v>5</v>
      </c>
      <c r="AK107" s="2" t="s">
        <v>5</v>
      </c>
    </row>
    <row r="108" spans="2:37" ht="12.5">
      <c r="B108" s="2" t="str">
        <f ca="1">IFERROR(__xludf.DUMMYFUNCTION("""COMPUTED_VALUE"""),"姫路西高")</f>
        <v>姫路西高</v>
      </c>
      <c r="C108" s="2" t="e">
        <f ca="1"/>
        <v>#N/A</v>
      </c>
      <c r="D108" s="2" t="e">
        <f ca="1"/>
        <v>#REF!</v>
      </c>
      <c r="E108" s="29" t="e">
        <f ca="1"/>
        <v>#REF!</v>
      </c>
      <c r="F108" s="30" t="e">
        <f ca="1"/>
        <v>#REF!</v>
      </c>
      <c r="G108" s="29" t="e">
        <f ca="1"/>
        <v>#REF!</v>
      </c>
      <c r="H108" s="30" t="e">
        <f ca="1"/>
        <v>#REF!</v>
      </c>
      <c r="I108" s="29" t="e">
        <f ca="1"/>
        <v>#REF!</v>
      </c>
      <c r="J108" s="29" t="e">
        <f ca="1"/>
        <v>#REF!</v>
      </c>
      <c r="K108" s="29" t="e">
        <f ca="1"/>
        <v>#REF!</v>
      </c>
      <c r="L108" s="29" t="e">
        <f ca="1"/>
        <v>#REF!</v>
      </c>
      <c r="M108" s="29" t="e">
        <f ca="1"/>
        <v>#REF!</v>
      </c>
      <c r="N108" s="29" t="e">
        <f ca="1"/>
        <v>#REF!</v>
      </c>
      <c r="O108" s="2" t="e">
        <f ca="1"/>
        <v>#N/A</v>
      </c>
      <c r="P108" s="2" t="e">
        <f ca="1"/>
        <v>#N/A</v>
      </c>
      <c r="Q108" s="2" t="s">
        <v>5</v>
      </c>
      <c r="R108" s="2" t="s">
        <v>5</v>
      </c>
      <c r="U108" s="2"/>
      <c r="V108" s="2" t="s">
        <v>5</v>
      </c>
      <c r="W108" s="2" t="s">
        <v>5</v>
      </c>
      <c r="X108" s="29" t="s">
        <v>5</v>
      </c>
      <c r="Y108" s="30" t="s">
        <v>5</v>
      </c>
      <c r="Z108" s="29" t="s">
        <v>5</v>
      </c>
      <c r="AA108" s="30" t="s">
        <v>5</v>
      </c>
      <c r="AB108" s="29" t="s">
        <v>5</v>
      </c>
      <c r="AC108" s="29" t="s">
        <v>5</v>
      </c>
      <c r="AD108" s="29" t="s">
        <v>5</v>
      </c>
      <c r="AE108" s="29" t="s">
        <v>5</v>
      </c>
      <c r="AF108" s="29" t="s">
        <v>5</v>
      </c>
      <c r="AG108" s="29" t="s">
        <v>5</v>
      </c>
      <c r="AH108" s="2" t="s">
        <v>5</v>
      </c>
      <c r="AI108" s="2" t="s">
        <v>5</v>
      </c>
      <c r="AJ108" s="2" t="s">
        <v>5</v>
      </c>
      <c r="AK108" s="2" t="s">
        <v>5</v>
      </c>
    </row>
    <row r="109" spans="2:37" ht="12.5">
      <c r="B109" s="2" t="str">
        <f ca="1">IFERROR(__xludf.DUMMYFUNCTION("""COMPUTED_VALUE"""),"益田高")</f>
        <v>益田高</v>
      </c>
      <c r="C109" s="2" t="e">
        <f ca="1"/>
        <v>#N/A</v>
      </c>
      <c r="D109" s="2" t="e">
        <f ca="1"/>
        <v>#REF!</v>
      </c>
      <c r="E109" s="29" t="e">
        <f ca="1"/>
        <v>#REF!</v>
      </c>
      <c r="F109" s="30" t="e">
        <f ca="1"/>
        <v>#REF!</v>
      </c>
      <c r="G109" s="29" t="e">
        <f ca="1"/>
        <v>#REF!</v>
      </c>
      <c r="H109" s="30" t="e">
        <f ca="1"/>
        <v>#REF!</v>
      </c>
      <c r="I109" s="29" t="e">
        <f ca="1"/>
        <v>#REF!</v>
      </c>
      <c r="J109" s="29" t="e">
        <f ca="1"/>
        <v>#REF!</v>
      </c>
      <c r="K109" s="29" t="e">
        <f ca="1"/>
        <v>#REF!</v>
      </c>
      <c r="L109" s="29" t="e">
        <f ca="1"/>
        <v>#REF!</v>
      </c>
      <c r="M109" s="29" t="e">
        <f ca="1"/>
        <v>#REF!</v>
      </c>
      <c r="N109" s="29" t="e">
        <f ca="1"/>
        <v>#REF!</v>
      </c>
      <c r="O109" s="2" t="e">
        <f ca="1"/>
        <v>#N/A</v>
      </c>
      <c r="P109" s="2" t="e">
        <f ca="1"/>
        <v>#N/A</v>
      </c>
      <c r="Q109" s="2" t="s">
        <v>5</v>
      </c>
      <c r="R109" s="2" t="s">
        <v>5</v>
      </c>
      <c r="U109" s="2"/>
      <c r="V109" s="2" t="s">
        <v>5</v>
      </c>
      <c r="W109" s="2" t="s">
        <v>5</v>
      </c>
      <c r="X109" s="29" t="s">
        <v>5</v>
      </c>
      <c r="Y109" s="30" t="s">
        <v>5</v>
      </c>
      <c r="Z109" s="29" t="s">
        <v>5</v>
      </c>
      <c r="AA109" s="30" t="s">
        <v>5</v>
      </c>
      <c r="AB109" s="29" t="s">
        <v>5</v>
      </c>
      <c r="AC109" s="29" t="s">
        <v>5</v>
      </c>
      <c r="AD109" s="29" t="s">
        <v>5</v>
      </c>
      <c r="AE109" s="29" t="s">
        <v>5</v>
      </c>
      <c r="AF109" s="29" t="s">
        <v>5</v>
      </c>
      <c r="AG109" s="29" t="s">
        <v>5</v>
      </c>
      <c r="AH109" s="2" t="s">
        <v>5</v>
      </c>
      <c r="AI109" s="2" t="s">
        <v>5</v>
      </c>
      <c r="AJ109" s="2" t="s">
        <v>5</v>
      </c>
      <c r="AK109" s="2" t="s">
        <v>5</v>
      </c>
    </row>
    <row r="110" spans="2:37" ht="12.5">
      <c r="B110" s="2" t="str">
        <f ca="1">IFERROR(__xludf.DUMMYFUNCTION("""COMPUTED_VALUE"""),"城ノ内中等教育")</f>
        <v>城ノ内中等教育</v>
      </c>
      <c r="C110" s="2" t="e">
        <f ca="1"/>
        <v>#N/A</v>
      </c>
      <c r="D110" s="2" t="e">
        <f ca="1"/>
        <v>#REF!</v>
      </c>
      <c r="E110" s="29" t="e">
        <f ca="1"/>
        <v>#REF!</v>
      </c>
      <c r="F110" s="30" t="e">
        <f ca="1"/>
        <v>#REF!</v>
      </c>
      <c r="G110" s="29" t="e">
        <f ca="1"/>
        <v>#REF!</v>
      </c>
      <c r="H110" s="30" t="e">
        <f ca="1"/>
        <v>#REF!</v>
      </c>
      <c r="I110" s="29" t="e">
        <f ca="1"/>
        <v>#REF!</v>
      </c>
      <c r="J110" s="29" t="e">
        <f ca="1"/>
        <v>#REF!</v>
      </c>
      <c r="K110" s="29" t="e">
        <f ca="1"/>
        <v>#REF!</v>
      </c>
      <c r="L110" s="29" t="e">
        <f ca="1"/>
        <v>#REF!</v>
      </c>
      <c r="M110" s="29" t="e">
        <f ca="1"/>
        <v>#REF!</v>
      </c>
      <c r="N110" s="29" t="e">
        <f ca="1"/>
        <v>#REF!</v>
      </c>
      <c r="O110" s="2" t="e">
        <f ca="1"/>
        <v>#N/A</v>
      </c>
      <c r="P110" s="2" t="e">
        <f ca="1"/>
        <v>#N/A</v>
      </c>
      <c r="Q110" s="2" t="s">
        <v>5</v>
      </c>
      <c r="R110" s="2" t="s">
        <v>5</v>
      </c>
      <c r="U110" s="2"/>
      <c r="V110" s="2" t="s">
        <v>5</v>
      </c>
      <c r="W110" s="2" t="s">
        <v>5</v>
      </c>
      <c r="X110" s="29" t="s">
        <v>5</v>
      </c>
      <c r="Y110" s="30" t="s">
        <v>5</v>
      </c>
      <c r="Z110" s="29" t="s">
        <v>5</v>
      </c>
      <c r="AA110" s="30" t="s">
        <v>5</v>
      </c>
      <c r="AB110" s="29" t="s">
        <v>5</v>
      </c>
      <c r="AC110" s="29" t="s">
        <v>5</v>
      </c>
      <c r="AD110" s="29" t="s">
        <v>5</v>
      </c>
      <c r="AE110" s="29" t="s">
        <v>5</v>
      </c>
      <c r="AF110" s="29" t="s">
        <v>5</v>
      </c>
      <c r="AG110" s="29" t="s">
        <v>5</v>
      </c>
      <c r="AH110" s="2" t="s">
        <v>5</v>
      </c>
      <c r="AI110" s="2" t="s">
        <v>5</v>
      </c>
      <c r="AJ110" s="2" t="s">
        <v>5</v>
      </c>
      <c r="AK110" s="2" t="s">
        <v>5</v>
      </c>
    </row>
    <row r="111" spans="2:37" ht="12.5">
      <c r="B111" s="2" t="str">
        <f ca="1">IFERROR(__xludf.DUMMYFUNCTION("""COMPUTED_VALUE"""),"高松高")</f>
        <v>高松高</v>
      </c>
      <c r="C111" s="2" t="e">
        <f ca="1"/>
        <v>#N/A</v>
      </c>
      <c r="D111" s="2" t="e">
        <f ca="1"/>
        <v>#REF!</v>
      </c>
      <c r="E111" s="29" t="e">
        <f ca="1"/>
        <v>#REF!</v>
      </c>
      <c r="F111" s="30" t="e">
        <f ca="1"/>
        <v>#REF!</v>
      </c>
      <c r="G111" s="29" t="e">
        <f ca="1"/>
        <v>#REF!</v>
      </c>
      <c r="H111" s="30" t="e">
        <f ca="1"/>
        <v>#REF!</v>
      </c>
      <c r="I111" s="29" t="e">
        <f ca="1"/>
        <v>#REF!</v>
      </c>
      <c r="J111" s="29" t="e">
        <f ca="1"/>
        <v>#REF!</v>
      </c>
      <c r="K111" s="29" t="e">
        <f ca="1"/>
        <v>#REF!</v>
      </c>
      <c r="L111" s="29" t="e">
        <f ca="1"/>
        <v>#REF!</v>
      </c>
      <c r="M111" s="29" t="e">
        <f ca="1"/>
        <v>#REF!</v>
      </c>
      <c r="N111" s="29" t="e">
        <f ca="1"/>
        <v>#REF!</v>
      </c>
      <c r="O111" s="2" t="e">
        <f ca="1"/>
        <v>#N/A</v>
      </c>
      <c r="P111" s="2" t="e">
        <f ca="1"/>
        <v>#N/A</v>
      </c>
      <c r="Q111" s="2" t="s">
        <v>5</v>
      </c>
      <c r="R111" s="2" t="s">
        <v>5</v>
      </c>
      <c r="U111" s="2"/>
      <c r="V111" s="2" t="s">
        <v>5</v>
      </c>
      <c r="W111" s="2" t="s">
        <v>5</v>
      </c>
      <c r="X111" s="29" t="s">
        <v>5</v>
      </c>
      <c r="Y111" s="30" t="s">
        <v>5</v>
      </c>
      <c r="Z111" s="29" t="s">
        <v>5</v>
      </c>
      <c r="AA111" s="30" t="s">
        <v>5</v>
      </c>
      <c r="AB111" s="29" t="s">
        <v>5</v>
      </c>
      <c r="AC111" s="29" t="s">
        <v>5</v>
      </c>
      <c r="AD111" s="29" t="s">
        <v>5</v>
      </c>
      <c r="AE111" s="29" t="s">
        <v>5</v>
      </c>
      <c r="AF111" s="29" t="s">
        <v>5</v>
      </c>
      <c r="AG111" s="29" t="s">
        <v>5</v>
      </c>
      <c r="AH111" s="2" t="s">
        <v>5</v>
      </c>
      <c r="AI111" s="2" t="s">
        <v>5</v>
      </c>
      <c r="AJ111" s="2" t="s">
        <v>5</v>
      </c>
      <c r="AK111" s="2" t="s">
        <v>5</v>
      </c>
    </row>
    <row r="112" spans="2:37" ht="12.5">
      <c r="B112" s="2" t="str">
        <f ca="1">IFERROR(__xludf.DUMMYFUNCTION("""COMPUTED_VALUE"""),"香椎高")</f>
        <v>香椎高</v>
      </c>
      <c r="C112" s="2" t="e">
        <f ca="1"/>
        <v>#N/A</v>
      </c>
      <c r="D112" s="2" t="e">
        <f ca="1"/>
        <v>#REF!</v>
      </c>
      <c r="E112" s="29" t="e">
        <f ca="1"/>
        <v>#REF!</v>
      </c>
      <c r="F112" s="30" t="e">
        <f ca="1"/>
        <v>#REF!</v>
      </c>
      <c r="G112" s="29" t="e">
        <f ca="1"/>
        <v>#REF!</v>
      </c>
      <c r="H112" s="30" t="e">
        <f ca="1"/>
        <v>#REF!</v>
      </c>
      <c r="I112" s="29" t="e">
        <f ca="1"/>
        <v>#REF!</v>
      </c>
      <c r="J112" s="29" t="e">
        <f ca="1"/>
        <v>#REF!</v>
      </c>
      <c r="K112" s="29" t="e">
        <f ca="1"/>
        <v>#REF!</v>
      </c>
      <c r="L112" s="29" t="e">
        <f ca="1"/>
        <v>#REF!</v>
      </c>
      <c r="M112" s="29" t="e">
        <f ca="1"/>
        <v>#REF!</v>
      </c>
      <c r="N112" s="29" t="e">
        <f ca="1"/>
        <v>#REF!</v>
      </c>
      <c r="O112" s="2" t="e">
        <f ca="1"/>
        <v>#N/A</v>
      </c>
      <c r="P112" s="2" t="e">
        <f ca="1"/>
        <v>#N/A</v>
      </c>
      <c r="Q112" s="2" t="s">
        <v>5</v>
      </c>
      <c r="R112" s="2" t="s">
        <v>5</v>
      </c>
      <c r="U112" s="2"/>
      <c r="V112" s="2" t="s">
        <v>5</v>
      </c>
      <c r="W112" s="2" t="s">
        <v>5</v>
      </c>
      <c r="X112" s="29" t="s">
        <v>5</v>
      </c>
      <c r="Y112" s="30" t="s">
        <v>5</v>
      </c>
      <c r="Z112" s="29" t="s">
        <v>5</v>
      </c>
      <c r="AA112" s="30" t="s">
        <v>5</v>
      </c>
      <c r="AB112" s="29" t="s">
        <v>5</v>
      </c>
      <c r="AC112" s="29" t="s">
        <v>5</v>
      </c>
      <c r="AD112" s="29" t="s">
        <v>5</v>
      </c>
      <c r="AE112" s="29" t="s">
        <v>5</v>
      </c>
      <c r="AF112" s="29" t="s">
        <v>5</v>
      </c>
      <c r="AG112" s="29" t="s">
        <v>5</v>
      </c>
      <c r="AH112" s="2" t="s">
        <v>5</v>
      </c>
      <c r="AI112" s="2" t="s">
        <v>5</v>
      </c>
      <c r="AJ112" s="2" t="s">
        <v>5</v>
      </c>
      <c r="AK112" s="2" t="s">
        <v>5</v>
      </c>
    </row>
    <row r="113" spans="2:37" ht="12.5">
      <c r="B113" s="2" t="str">
        <f ca="1">IFERROR(__xludf.DUMMYFUNCTION("""COMPUTED_VALUE"""),"熊本学園大付高")</f>
        <v>熊本学園大付高</v>
      </c>
      <c r="C113" s="2" t="e">
        <f ca="1"/>
        <v>#N/A</v>
      </c>
      <c r="D113" s="2" t="e">
        <f ca="1"/>
        <v>#REF!</v>
      </c>
      <c r="E113" s="29" t="e">
        <f ca="1"/>
        <v>#REF!</v>
      </c>
      <c r="F113" s="30" t="e">
        <f ca="1"/>
        <v>#REF!</v>
      </c>
      <c r="G113" s="29" t="e">
        <f ca="1"/>
        <v>#REF!</v>
      </c>
      <c r="H113" s="30" t="e">
        <f ca="1"/>
        <v>#REF!</v>
      </c>
      <c r="I113" s="29" t="e">
        <f ca="1"/>
        <v>#REF!</v>
      </c>
      <c r="J113" s="29" t="e">
        <f ca="1"/>
        <v>#REF!</v>
      </c>
      <c r="K113" s="29" t="e">
        <f ca="1"/>
        <v>#REF!</v>
      </c>
      <c r="L113" s="29" t="e">
        <f ca="1"/>
        <v>#REF!</v>
      </c>
      <c r="M113" s="29" t="e">
        <f ca="1"/>
        <v>#REF!</v>
      </c>
      <c r="N113" s="29" t="e">
        <f ca="1"/>
        <v>#REF!</v>
      </c>
      <c r="O113" s="2" t="e">
        <f ca="1"/>
        <v>#N/A</v>
      </c>
      <c r="P113" s="2" t="e">
        <f ca="1"/>
        <v>#N/A</v>
      </c>
      <c r="Q113" s="2" t="s">
        <v>5</v>
      </c>
      <c r="R113" s="2" t="s">
        <v>5</v>
      </c>
      <c r="U113" s="2"/>
      <c r="V113" s="2" t="s">
        <v>5</v>
      </c>
      <c r="W113" s="2" t="s">
        <v>5</v>
      </c>
      <c r="X113" s="29" t="s">
        <v>5</v>
      </c>
      <c r="Y113" s="30" t="s">
        <v>5</v>
      </c>
      <c r="Z113" s="29" t="s">
        <v>5</v>
      </c>
      <c r="AA113" s="30" t="s">
        <v>5</v>
      </c>
      <c r="AB113" s="29" t="s">
        <v>5</v>
      </c>
      <c r="AC113" s="29" t="s">
        <v>5</v>
      </c>
      <c r="AD113" s="29" t="s">
        <v>5</v>
      </c>
      <c r="AE113" s="29" t="s">
        <v>5</v>
      </c>
      <c r="AF113" s="29" t="s">
        <v>5</v>
      </c>
      <c r="AG113" s="29" t="s">
        <v>5</v>
      </c>
      <c r="AH113" s="2" t="s">
        <v>5</v>
      </c>
      <c r="AI113" s="2" t="s">
        <v>5</v>
      </c>
      <c r="AJ113" s="2" t="s">
        <v>5</v>
      </c>
      <c r="AK113" s="2" t="s">
        <v>5</v>
      </c>
    </row>
    <row r="114" spans="2:37" ht="12.5">
      <c r="B114" s="2" t="str">
        <f ca="1">IFERROR(__xludf.DUMMYFUNCTION("""COMPUTED_VALUE"""),"奈良高")</f>
        <v>奈良高</v>
      </c>
      <c r="C114" s="2" t="e">
        <f ca="1"/>
        <v>#N/A</v>
      </c>
      <c r="D114" s="2" t="e">
        <f ca="1"/>
        <v>#REF!</v>
      </c>
      <c r="E114" s="29" t="e">
        <f ca="1"/>
        <v>#REF!</v>
      </c>
      <c r="F114" s="30" t="e">
        <f ca="1"/>
        <v>#REF!</v>
      </c>
      <c r="G114" s="29" t="e">
        <f ca="1"/>
        <v>#REF!</v>
      </c>
      <c r="H114" s="30" t="e">
        <f ca="1"/>
        <v>#REF!</v>
      </c>
      <c r="I114" s="29" t="e">
        <f ca="1"/>
        <v>#REF!</v>
      </c>
      <c r="J114" s="29" t="e">
        <f ca="1"/>
        <v>#REF!</v>
      </c>
      <c r="K114" s="29" t="e">
        <f ca="1"/>
        <v>#REF!</v>
      </c>
      <c r="L114" s="29" t="e">
        <f ca="1"/>
        <v>#REF!</v>
      </c>
      <c r="M114" s="29" t="e">
        <f ca="1"/>
        <v>#REF!</v>
      </c>
      <c r="N114" s="29" t="e">
        <f ca="1"/>
        <v>#REF!</v>
      </c>
      <c r="O114" s="2" t="e">
        <f ca="1"/>
        <v>#N/A</v>
      </c>
      <c r="P114" s="2" t="e">
        <f ca="1"/>
        <v>#N/A</v>
      </c>
      <c r="Q114" s="2" t="s">
        <v>5</v>
      </c>
      <c r="R114" s="2" t="s">
        <v>5</v>
      </c>
      <c r="U114" s="2"/>
      <c r="V114" s="2" t="s">
        <v>5</v>
      </c>
      <c r="W114" s="2" t="s">
        <v>5</v>
      </c>
      <c r="X114" s="29" t="s">
        <v>5</v>
      </c>
      <c r="Y114" s="30" t="s">
        <v>5</v>
      </c>
      <c r="Z114" s="29" t="s">
        <v>5</v>
      </c>
      <c r="AA114" s="30" t="s">
        <v>5</v>
      </c>
      <c r="AB114" s="29" t="s">
        <v>5</v>
      </c>
      <c r="AC114" s="29" t="s">
        <v>5</v>
      </c>
      <c r="AD114" s="29" t="s">
        <v>5</v>
      </c>
      <c r="AE114" s="29" t="s">
        <v>5</v>
      </c>
      <c r="AF114" s="29" t="s">
        <v>5</v>
      </c>
      <c r="AG114" s="29" t="s">
        <v>5</v>
      </c>
      <c r="AH114" s="2" t="s">
        <v>5</v>
      </c>
      <c r="AI114" s="2" t="s">
        <v>5</v>
      </c>
      <c r="AJ114" s="2" t="s">
        <v>5</v>
      </c>
      <c r="AK114" s="2" t="s">
        <v>5</v>
      </c>
    </row>
    <row r="115" spans="2:37" ht="12.5">
      <c r="B115" s="2" t="str">
        <f ca="1">IFERROR(__xludf.DUMMYFUNCTION("""COMPUTED_VALUE"""),"一関第一高")</f>
        <v>一関第一高</v>
      </c>
      <c r="C115" s="2" t="e">
        <f ca="1"/>
        <v>#N/A</v>
      </c>
      <c r="D115" s="2" t="e">
        <f ca="1"/>
        <v>#REF!</v>
      </c>
      <c r="E115" s="29" t="e">
        <f ca="1"/>
        <v>#REF!</v>
      </c>
      <c r="F115" s="30" t="e">
        <f ca="1"/>
        <v>#REF!</v>
      </c>
      <c r="G115" s="29" t="e">
        <f ca="1"/>
        <v>#REF!</v>
      </c>
      <c r="H115" s="30" t="e">
        <f ca="1"/>
        <v>#REF!</v>
      </c>
      <c r="I115" s="29" t="e">
        <f ca="1"/>
        <v>#REF!</v>
      </c>
      <c r="J115" s="29" t="e">
        <f ca="1"/>
        <v>#REF!</v>
      </c>
      <c r="K115" s="29" t="e">
        <f ca="1"/>
        <v>#REF!</v>
      </c>
      <c r="L115" s="29" t="e">
        <f ca="1"/>
        <v>#REF!</v>
      </c>
      <c r="M115" s="29" t="e">
        <f ca="1"/>
        <v>#REF!</v>
      </c>
      <c r="N115" s="29" t="e">
        <f ca="1"/>
        <v>#REF!</v>
      </c>
      <c r="O115" s="2" t="e">
        <f ca="1"/>
        <v>#N/A</v>
      </c>
      <c r="P115" s="2" t="e">
        <f ca="1"/>
        <v>#N/A</v>
      </c>
      <c r="Q115" s="2" t="s">
        <v>5</v>
      </c>
      <c r="R115" s="2" t="s">
        <v>5</v>
      </c>
      <c r="U115" s="2"/>
      <c r="V115" s="2" t="s">
        <v>5</v>
      </c>
      <c r="W115" s="2" t="s">
        <v>5</v>
      </c>
      <c r="X115" s="29" t="s">
        <v>5</v>
      </c>
      <c r="Y115" s="30" t="s">
        <v>5</v>
      </c>
      <c r="Z115" s="29" t="s">
        <v>5</v>
      </c>
      <c r="AA115" s="30" t="s">
        <v>5</v>
      </c>
      <c r="AB115" s="29" t="s">
        <v>5</v>
      </c>
      <c r="AC115" s="29" t="s">
        <v>5</v>
      </c>
      <c r="AD115" s="29" t="s">
        <v>5</v>
      </c>
      <c r="AE115" s="29" t="s">
        <v>5</v>
      </c>
      <c r="AF115" s="29" t="s">
        <v>5</v>
      </c>
      <c r="AG115" s="29" t="s">
        <v>5</v>
      </c>
      <c r="AH115" s="2" t="s">
        <v>5</v>
      </c>
      <c r="AI115" s="2" t="s">
        <v>5</v>
      </c>
      <c r="AJ115" s="2" t="s">
        <v>5</v>
      </c>
      <c r="AK115" s="2" t="s">
        <v>5</v>
      </c>
    </row>
    <row r="116" spans="2:37" ht="12.5">
      <c r="B116" s="2" t="str">
        <f ca="1">IFERROR(__xludf.DUMMYFUNCTION("""COMPUTED_VALUE"""),"安積黎明高")</f>
        <v>安積黎明高</v>
      </c>
      <c r="C116" s="2" t="e">
        <f ca="1"/>
        <v>#N/A</v>
      </c>
      <c r="D116" s="2" t="e">
        <f ca="1"/>
        <v>#REF!</v>
      </c>
      <c r="E116" s="29" t="e">
        <f ca="1"/>
        <v>#REF!</v>
      </c>
      <c r="F116" s="30" t="e">
        <f ca="1"/>
        <v>#REF!</v>
      </c>
      <c r="G116" s="29" t="e">
        <f ca="1"/>
        <v>#REF!</v>
      </c>
      <c r="H116" s="30" t="e">
        <f ca="1"/>
        <v>#REF!</v>
      </c>
      <c r="I116" s="29" t="e">
        <f ca="1"/>
        <v>#REF!</v>
      </c>
      <c r="J116" s="29" t="e">
        <f ca="1"/>
        <v>#REF!</v>
      </c>
      <c r="K116" s="29" t="e">
        <f ca="1"/>
        <v>#REF!</v>
      </c>
      <c r="L116" s="29" t="e">
        <f ca="1"/>
        <v>#REF!</v>
      </c>
      <c r="M116" s="29" t="e">
        <f ca="1"/>
        <v>#REF!</v>
      </c>
      <c r="N116" s="29" t="e">
        <f ca="1"/>
        <v>#REF!</v>
      </c>
      <c r="O116" s="2" t="e">
        <f ca="1"/>
        <v>#N/A</v>
      </c>
      <c r="P116" s="2" t="e">
        <f ca="1"/>
        <v>#N/A</v>
      </c>
      <c r="Q116" s="2" t="s">
        <v>5</v>
      </c>
      <c r="R116" s="2" t="s">
        <v>5</v>
      </c>
      <c r="U116" s="2"/>
      <c r="V116" s="2" t="s">
        <v>5</v>
      </c>
      <c r="W116" s="2" t="s">
        <v>5</v>
      </c>
      <c r="X116" s="29" t="s">
        <v>5</v>
      </c>
      <c r="Y116" s="30" t="s">
        <v>5</v>
      </c>
      <c r="Z116" s="29" t="s">
        <v>5</v>
      </c>
      <c r="AA116" s="30" t="s">
        <v>5</v>
      </c>
      <c r="AB116" s="29" t="s">
        <v>5</v>
      </c>
      <c r="AC116" s="29" t="s">
        <v>5</v>
      </c>
      <c r="AD116" s="29" t="s">
        <v>5</v>
      </c>
      <c r="AE116" s="29" t="s">
        <v>5</v>
      </c>
      <c r="AF116" s="29" t="s">
        <v>5</v>
      </c>
      <c r="AG116" s="29" t="s">
        <v>5</v>
      </c>
      <c r="AH116" s="2" t="s">
        <v>5</v>
      </c>
      <c r="AI116" s="2" t="s">
        <v>5</v>
      </c>
      <c r="AJ116" s="2" t="s">
        <v>5</v>
      </c>
      <c r="AK116" s="2" t="s">
        <v>5</v>
      </c>
    </row>
    <row r="117" spans="2:37" ht="12.5">
      <c r="B117" s="2" t="str">
        <f ca="1">IFERROR(__xludf.DUMMYFUNCTION("""COMPUTED_VALUE"""),"淑徳与野高")</f>
        <v>淑徳与野高</v>
      </c>
      <c r="C117" s="2" t="e">
        <f ca="1"/>
        <v>#N/A</v>
      </c>
      <c r="D117" s="2" t="e">
        <f ca="1"/>
        <v>#REF!</v>
      </c>
      <c r="E117" s="29" t="e">
        <f ca="1"/>
        <v>#REF!</v>
      </c>
      <c r="F117" s="30" t="e">
        <f ca="1"/>
        <v>#REF!</v>
      </c>
      <c r="G117" s="29" t="e">
        <f ca="1"/>
        <v>#REF!</v>
      </c>
      <c r="H117" s="30" t="e">
        <f ca="1"/>
        <v>#REF!</v>
      </c>
      <c r="I117" s="29" t="e">
        <f ca="1"/>
        <v>#REF!</v>
      </c>
      <c r="J117" s="29" t="e">
        <f ca="1"/>
        <v>#REF!</v>
      </c>
      <c r="K117" s="29" t="e">
        <f ca="1"/>
        <v>#REF!</v>
      </c>
      <c r="L117" s="29" t="e">
        <f ca="1"/>
        <v>#REF!</v>
      </c>
      <c r="M117" s="29" t="e">
        <f ca="1"/>
        <v>#REF!</v>
      </c>
      <c r="N117" s="29" t="e">
        <f ca="1"/>
        <v>#REF!</v>
      </c>
      <c r="O117" s="2" t="e">
        <f ca="1"/>
        <v>#N/A</v>
      </c>
      <c r="P117" s="2" t="e">
        <f ca="1"/>
        <v>#N/A</v>
      </c>
      <c r="Q117" s="2" t="s">
        <v>5</v>
      </c>
      <c r="R117" s="2" t="s">
        <v>5</v>
      </c>
      <c r="U117" s="2"/>
      <c r="V117" s="2" t="s">
        <v>5</v>
      </c>
      <c r="W117" s="2" t="s">
        <v>5</v>
      </c>
      <c r="X117" s="29" t="s">
        <v>5</v>
      </c>
      <c r="Y117" s="30" t="s">
        <v>5</v>
      </c>
      <c r="Z117" s="29" t="s">
        <v>5</v>
      </c>
      <c r="AA117" s="30" t="s">
        <v>5</v>
      </c>
      <c r="AB117" s="29" t="s">
        <v>5</v>
      </c>
      <c r="AC117" s="29" t="s">
        <v>5</v>
      </c>
      <c r="AD117" s="29" t="s">
        <v>5</v>
      </c>
      <c r="AE117" s="29" t="s">
        <v>5</v>
      </c>
      <c r="AF117" s="29" t="s">
        <v>5</v>
      </c>
      <c r="AG117" s="29" t="s">
        <v>5</v>
      </c>
      <c r="AH117" s="2" t="s">
        <v>5</v>
      </c>
      <c r="AI117" s="2" t="s">
        <v>5</v>
      </c>
      <c r="AJ117" s="2" t="s">
        <v>5</v>
      </c>
      <c r="AK117" s="2" t="s">
        <v>5</v>
      </c>
    </row>
    <row r="118" spans="2:37" ht="12.5">
      <c r="B118" s="2" t="str">
        <f ca="1">IFERROR(__xludf.DUMMYFUNCTION("""COMPUTED_VALUE"""),"城北学園高")</f>
        <v>城北学園高</v>
      </c>
      <c r="C118" s="2" t="e">
        <f ca="1"/>
        <v>#N/A</v>
      </c>
      <c r="D118" s="2" t="e">
        <f ca="1"/>
        <v>#REF!</v>
      </c>
      <c r="E118" s="29" t="e">
        <f ca="1"/>
        <v>#REF!</v>
      </c>
      <c r="F118" s="30" t="e">
        <f ca="1"/>
        <v>#REF!</v>
      </c>
      <c r="G118" s="29" t="e">
        <f ca="1"/>
        <v>#REF!</v>
      </c>
      <c r="H118" s="30" t="e">
        <f ca="1"/>
        <v>#REF!</v>
      </c>
      <c r="I118" s="29" t="e">
        <f ca="1"/>
        <v>#REF!</v>
      </c>
      <c r="J118" s="29" t="e">
        <f ca="1"/>
        <v>#REF!</v>
      </c>
      <c r="K118" s="29" t="e">
        <f ca="1"/>
        <v>#REF!</v>
      </c>
      <c r="L118" s="29" t="e">
        <f ca="1"/>
        <v>#REF!</v>
      </c>
      <c r="M118" s="29" t="e">
        <f ca="1"/>
        <v>#REF!</v>
      </c>
      <c r="N118" s="29" t="e">
        <f ca="1"/>
        <v>#REF!</v>
      </c>
      <c r="O118" s="2" t="e">
        <f ca="1"/>
        <v>#N/A</v>
      </c>
      <c r="P118" s="2" t="e">
        <f ca="1"/>
        <v>#N/A</v>
      </c>
      <c r="Q118" s="2" t="s">
        <v>5</v>
      </c>
      <c r="R118" s="2" t="s">
        <v>5</v>
      </c>
      <c r="U118" s="2"/>
      <c r="V118" s="2" t="s">
        <v>5</v>
      </c>
      <c r="W118" s="2" t="s">
        <v>5</v>
      </c>
      <c r="X118" s="29" t="s">
        <v>5</v>
      </c>
      <c r="Y118" s="30" t="s">
        <v>5</v>
      </c>
      <c r="Z118" s="29" t="s">
        <v>5</v>
      </c>
      <c r="AA118" s="30" t="s">
        <v>5</v>
      </c>
      <c r="AB118" s="29" t="s">
        <v>5</v>
      </c>
      <c r="AC118" s="29" t="s">
        <v>5</v>
      </c>
      <c r="AD118" s="29" t="s">
        <v>5</v>
      </c>
      <c r="AE118" s="29" t="s">
        <v>5</v>
      </c>
      <c r="AF118" s="29" t="s">
        <v>5</v>
      </c>
      <c r="AG118" s="29" t="s">
        <v>5</v>
      </c>
      <c r="AH118" s="2" t="s">
        <v>5</v>
      </c>
      <c r="AI118" s="2" t="s">
        <v>5</v>
      </c>
      <c r="AJ118" s="2" t="s">
        <v>5</v>
      </c>
      <c r="AK118" s="2" t="s">
        <v>5</v>
      </c>
    </row>
    <row r="119" spans="2:37" ht="12.5">
      <c r="B119" s="2" t="str">
        <f ca="1">IFERROR(__xludf.DUMMYFUNCTION("""COMPUTED_VALUE"""),"巣鴨高")</f>
        <v>巣鴨高</v>
      </c>
      <c r="C119" s="2" t="e">
        <f ca="1"/>
        <v>#N/A</v>
      </c>
      <c r="D119" s="2" t="e">
        <f ca="1"/>
        <v>#REF!</v>
      </c>
      <c r="E119" s="29" t="e">
        <f ca="1"/>
        <v>#REF!</v>
      </c>
      <c r="F119" s="30" t="e">
        <f ca="1"/>
        <v>#REF!</v>
      </c>
      <c r="G119" s="29" t="e">
        <f ca="1"/>
        <v>#REF!</v>
      </c>
      <c r="H119" s="30" t="e">
        <f ca="1"/>
        <v>#REF!</v>
      </c>
      <c r="I119" s="29" t="e">
        <f ca="1"/>
        <v>#REF!</v>
      </c>
      <c r="J119" s="29" t="e">
        <f ca="1"/>
        <v>#REF!</v>
      </c>
      <c r="K119" s="29" t="e">
        <f ca="1"/>
        <v>#REF!</v>
      </c>
      <c r="L119" s="29" t="e">
        <f ca="1"/>
        <v>#REF!</v>
      </c>
      <c r="M119" s="29" t="e">
        <f ca="1"/>
        <v>#REF!</v>
      </c>
      <c r="N119" s="29" t="e">
        <f ca="1"/>
        <v>#REF!</v>
      </c>
      <c r="O119" s="2" t="e">
        <f ca="1"/>
        <v>#N/A</v>
      </c>
      <c r="P119" s="2" t="e">
        <f ca="1"/>
        <v>#N/A</v>
      </c>
      <c r="Q119" s="2" t="s">
        <v>5</v>
      </c>
      <c r="R119" s="2" t="s">
        <v>5</v>
      </c>
      <c r="U119" s="2"/>
      <c r="V119" s="2" t="s">
        <v>5</v>
      </c>
      <c r="W119" s="2" t="s">
        <v>5</v>
      </c>
      <c r="X119" s="29" t="s">
        <v>5</v>
      </c>
      <c r="Y119" s="30" t="s">
        <v>5</v>
      </c>
      <c r="Z119" s="29" t="s">
        <v>5</v>
      </c>
      <c r="AA119" s="30" t="s">
        <v>5</v>
      </c>
      <c r="AB119" s="29" t="s">
        <v>5</v>
      </c>
      <c r="AC119" s="29" t="s">
        <v>5</v>
      </c>
      <c r="AD119" s="29" t="s">
        <v>5</v>
      </c>
      <c r="AE119" s="29" t="s">
        <v>5</v>
      </c>
      <c r="AF119" s="29" t="s">
        <v>5</v>
      </c>
      <c r="AG119" s="29" t="s">
        <v>5</v>
      </c>
      <c r="AH119" s="2" t="s">
        <v>5</v>
      </c>
      <c r="AI119" s="2" t="s">
        <v>5</v>
      </c>
      <c r="AJ119" s="2" t="s">
        <v>5</v>
      </c>
      <c r="AK119" s="2" t="s">
        <v>5</v>
      </c>
    </row>
    <row r="120" spans="2:37" ht="12.5">
      <c r="B120" s="2" t="str">
        <f ca="1">IFERROR(__xludf.DUMMYFUNCTION("""COMPUTED_VALUE"""),"豊多摩高")</f>
        <v>豊多摩高</v>
      </c>
      <c r="C120" s="2" t="e">
        <f ca="1"/>
        <v>#N/A</v>
      </c>
      <c r="D120" s="2" t="e">
        <f ca="1"/>
        <v>#REF!</v>
      </c>
      <c r="E120" s="29" t="e">
        <f ca="1"/>
        <v>#REF!</v>
      </c>
      <c r="F120" s="30" t="e">
        <f ca="1"/>
        <v>#REF!</v>
      </c>
      <c r="G120" s="29" t="e">
        <f ca="1"/>
        <v>#REF!</v>
      </c>
      <c r="H120" s="30" t="e">
        <f ca="1"/>
        <v>#REF!</v>
      </c>
      <c r="I120" s="29" t="e">
        <f ca="1"/>
        <v>#REF!</v>
      </c>
      <c r="J120" s="29" t="e">
        <f ca="1"/>
        <v>#REF!</v>
      </c>
      <c r="K120" s="29" t="e">
        <f ca="1"/>
        <v>#REF!</v>
      </c>
      <c r="L120" s="29" t="e">
        <f ca="1"/>
        <v>#REF!</v>
      </c>
      <c r="M120" s="29" t="e">
        <f ca="1"/>
        <v>#REF!</v>
      </c>
      <c r="N120" s="29" t="e">
        <f ca="1"/>
        <v>#REF!</v>
      </c>
      <c r="O120" s="2" t="e">
        <f ca="1"/>
        <v>#N/A</v>
      </c>
      <c r="P120" s="2" t="e">
        <f ca="1"/>
        <v>#N/A</v>
      </c>
      <c r="Q120" s="2" t="s">
        <v>5</v>
      </c>
      <c r="R120" s="2" t="s">
        <v>5</v>
      </c>
      <c r="U120" s="2"/>
      <c r="V120" s="2" t="s">
        <v>5</v>
      </c>
      <c r="W120" s="2" t="s">
        <v>5</v>
      </c>
      <c r="X120" s="29" t="s">
        <v>5</v>
      </c>
      <c r="Y120" s="30" t="s">
        <v>5</v>
      </c>
      <c r="Z120" s="29" t="s">
        <v>5</v>
      </c>
      <c r="AA120" s="30" t="s">
        <v>5</v>
      </c>
      <c r="AB120" s="29" t="s">
        <v>5</v>
      </c>
      <c r="AC120" s="29" t="s">
        <v>5</v>
      </c>
      <c r="AD120" s="29" t="s">
        <v>5</v>
      </c>
      <c r="AE120" s="29" t="s">
        <v>5</v>
      </c>
      <c r="AF120" s="29" t="s">
        <v>5</v>
      </c>
      <c r="AG120" s="29" t="s">
        <v>5</v>
      </c>
      <c r="AH120" s="2" t="s">
        <v>5</v>
      </c>
      <c r="AI120" s="2" t="s">
        <v>5</v>
      </c>
      <c r="AJ120" s="2" t="s">
        <v>5</v>
      </c>
      <c r="AK120" s="2" t="s">
        <v>5</v>
      </c>
    </row>
    <row r="121" spans="2:37" ht="12.5">
      <c r="B121" s="2" t="str">
        <f ca="1">IFERROR(__xludf.DUMMYFUNCTION("""COMPUTED_VALUE"""),"桐蔭学園中等教育")</f>
        <v>桐蔭学園中等教育</v>
      </c>
      <c r="C121" s="2" t="e">
        <f ca="1"/>
        <v>#N/A</v>
      </c>
      <c r="D121" s="2" t="e">
        <f ca="1"/>
        <v>#REF!</v>
      </c>
      <c r="E121" s="29" t="e">
        <f ca="1"/>
        <v>#REF!</v>
      </c>
      <c r="F121" s="30" t="e">
        <f ca="1"/>
        <v>#REF!</v>
      </c>
      <c r="G121" s="29" t="e">
        <f ca="1"/>
        <v>#REF!</v>
      </c>
      <c r="H121" s="30" t="e">
        <f ca="1"/>
        <v>#REF!</v>
      </c>
      <c r="I121" s="29" t="e">
        <f ca="1"/>
        <v>#REF!</v>
      </c>
      <c r="J121" s="29" t="e">
        <f ca="1"/>
        <v>#REF!</v>
      </c>
      <c r="K121" s="29" t="e">
        <f ca="1"/>
        <v>#REF!</v>
      </c>
      <c r="L121" s="29" t="e">
        <f ca="1"/>
        <v>#REF!</v>
      </c>
      <c r="M121" s="29" t="e">
        <f ca="1"/>
        <v>#REF!</v>
      </c>
      <c r="N121" s="29" t="e">
        <f ca="1"/>
        <v>#REF!</v>
      </c>
      <c r="O121" s="2" t="e">
        <f ca="1"/>
        <v>#N/A</v>
      </c>
      <c r="P121" s="2" t="e">
        <f ca="1"/>
        <v>#N/A</v>
      </c>
      <c r="Q121" s="2" t="s">
        <v>5</v>
      </c>
      <c r="R121" s="2" t="s">
        <v>5</v>
      </c>
      <c r="U121" s="2"/>
      <c r="V121" s="2" t="s">
        <v>5</v>
      </c>
      <c r="W121" s="2" t="s">
        <v>5</v>
      </c>
      <c r="X121" s="29" t="s">
        <v>5</v>
      </c>
      <c r="Y121" s="30" t="s">
        <v>5</v>
      </c>
      <c r="Z121" s="29" t="s">
        <v>5</v>
      </c>
      <c r="AA121" s="30" t="s">
        <v>5</v>
      </c>
      <c r="AB121" s="29" t="s">
        <v>5</v>
      </c>
      <c r="AC121" s="29" t="s">
        <v>5</v>
      </c>
      <c r="AD121" s="29" t="s">
        <v>5</v>
      </c>
      <c r="AE121" s="29" t="s">
        <v>5</v>
      </c>
      <c r="AF121" s="29" t="s">
        <v>5</v>
      </c>
      <c r="AG121" s="29" t="s">
        <v>5</v>
      </c>
      <c r="AH121" s="2" t="s">
        <v>5</v>
      </c>
      <c r="AI121" s="2" t="s">
        <v>5</v>
      </c>
      <c r="AJ121" s="2" t="s">
        <v>5</v>
      </c>
      <c r="AK121" s="2" t="s">
        <v>5</v>
      </c>
    </row>
    <row r="122" spans="2:37" ht="12.5">
      <c r="B122" s="2" t="str">
        <f ca="1">IFERROR(__xludf.DUMMYFUNCTION("""COMPUTED_VALUE"""),"湘南高")</f>
        <v>湘南高</v>
      </c>
      <c r="C122" s="2" t="e">
        <f ca="1"/>
        <v>#N/A</v>
      </c>
      <c r="D122" s="2" t="e">
        <f ca="1"/>
        <v>#REF!</v>
      </c>
      <c r="E122" s="29" t="e">
        <f ca="1"/>
        <v>#REF!</v>
      </c>
      <c r="F122" s="30" t="e">
        <f ca="1"/>
        <v>#REF!</v>
      </c>
      <c r="G122" s="29" t="e">
        <f ca="1"/>
        <v>#REF!</v>
      </c>
      <c r="H122" s="30" t="e">
        <f ca="1"/>
        <v>#REF!</v>
      </c>
      <c r="I122" s="29" t="e">
        <f ca="1"/>
        <v>#REF!</v>
      </c>
      <c r="J122" s="29" t="e">
        <f ca="1"/>
        <v>#REF!</v>
      </c>
      <c r="K122" s="29" t="e">
        <f ca="1"/>
        <v>#REF!</v>
      </c>
      <c r="L122" s="29" t="e">
        <f ca="1"/>
        <v>#REF!</v>
      </c>
      <c r="M122" s="29" t="e">
        <f ca="1"/>
        <v>#REF!</v>
      </c>
      <c r="N122" s="29" t="e">
        <f ca="1"/>
        <v>#REF!</v>
      </c>
      <c r="O122" s="2" t="e">
        <f ca="1"/>
        <v>#N/A</v>
      </c>
      <c r="P122" s="2" t="e">
        <f ca="1"/>
        <v>#N/A</v>
      </c>
      <c r="Q122" s="2" t="s">
        <v>5</v>
      </c>
      <c r="R122" s="2" t="s">
        <v>5</v>
      </c>
      <c r="U122" s="2"/>
      <c r="V122" s="2" t="s">
        <v>5</v>
      </c>
      <c r="W122" s="2" t="s">
        <v>5</v>
      </c>
      <c r="X122" s="29" t="s">
        <v>5</v>
      </c>
      <c r="Y122" s="30" t="s">
        <v>5</v>
      </c>
      <c r="Z122" s="29" t="s">
        <v>5</v>
      </c>
      <c r="AA122" s="30" t="s">
        <v>5</v>
      </c>
      <c r="AB122" s="29" t="s">
        <v>5</v>
      </c>
      <c r="AC122" s="29" t="s">
        <v>5</v>
      </c>
      <c r="AD122" s="29" t="s">
        <v>5</v>
      </c>
      <c r="AE122" s="29" t="s">
        <v>5</v>
      </c>
      <c r="AF122" s="29" t="s">
        <v>5</v>
      </c>
      <c r="AG122" s="29" t="s">
        <v>5</v>
      </c>
      <c r="AH122" s="2" t="s">
        <v>5</v>
      </c>
      <c r="AI122" s="2" t="s">
        <v>5</v>
      </c>
      <c r="AJ122" s="2" t="s">
        <v>5</v>
      </c>
      <c r="AK122" s="2" t="s">
        <v>5</v>
      </c>
    </row>
    <row r="123" spans="2:37" ht="12.5">
      <c r="B123" s="2" t="str">
        <f ca="1">IFERROR(__xludf.DUMMYFUNCTION("""COMPUTED_VALUE"""),"富山東高")</f>
        <v>富山東高</v>
      </c>
      <c r="C123" s="2" t="e">
        <f ca="1"/>
        <v>#N/A</v>
      </c>
      <c r="D123" s="2" t="e">
        <f ca="1"/>
        <v>#REF!</v>
      </c>
      <c r="E123" s="29" t="e">
        <f ca="1"/>
        <v>#REF!</v>
      </c>
      <c r="F123" s="30" t="e">
        <f ca="1"/>
        <v>#REF!</v>
      </c>
      <c r="G123" s="29" t="e">
        <f ca="1"/>
        <v>#REF!</v>
      </c>
      <c r="H123" s="30" t="e">
        <f ca="1"/>
        <v>#REF!</v>
      </c>
      <c r="I123" s="29" t="e">
        <f ca="1"/>
        <v>#REF!</v>
      </c>
      <c r="J123" s="29" t="e">
        <f ca="1"/>
        <v>#REF!</v>
      </c>
      <c r="K123" s="29" t="e">
        <f ca="1"/>
        <v>#REF!</v>
      </c>
      <c r="L123" s="29" t="e">
        <f ca="1"/>
        <v>#REF!</v>
      </c>
      <c r="M123" s="29" t="e">
        <f ca="1"/>
        <v>#REF!</v>
      </c>
      <c r="N123" s="29" t="e">
        <f ca="1"/>
        <v>#REF!</v>
      </c>
      <c r="O123" s="2" t="e">
        <f ca="1"/>
        <v>#N/A</v>
      </c>
      <c r="P123" s="2" t="e">
        <f ca="1"/>
        <v>#N/A</v>
      </c>
      <c r="Q123" s="2" t="s">
        <v>5</v>
      </c>
      <c r="R123" s="2" t="s">
        <v>5</v>
      </c>
      <c r="U123" s="2"/>
      <c r="V123" s="2" t="s">
        <v>5</v>
      </c>
      <c r="W123" s="2" t="s">
        <v>5</v>
      </c>
      <c r="X123" s="29" t="s">
        <v>5</v>
      </c>
      <c r="Y123" s="30" t="s">
        <v>5</v>
      </c>
      <c r="Z123" s="29" t="s">
        <v>5</v>
      </c>
      <c r="AA123" s="30" t="s">
        <v>5</v>
      </c>
      <c r="AB123" s="29" t="s">
        <v>5</v>
      </c>
      <c r="AC123" s="29" t="s">
        <v>5</v>
      </c>
      <c r="AD123" s="29" t="s">
        <v>5</v>
      </c>
      <c r="AE123" s="29" t="s">
        <v>5</v>
      </c>
      <c r="AF123" s="29" t="s">
        <v>5</v>
      </c>
      <c r="AG123" s="29" t="s">
        <v>5</v>
      </c>
      <c r="AH123" s="2" t="s">
        <v>5</v>
      </c>
      <c r="AI123" s="2" t="s">
        <v>5</v>
      </c>
      <c r="AJ123" s="2" t="s">
        <v>5</v>
      </c>
      <c r="AK123" s="2" t="s">
        <v>5</v>
      </c>
    </row>
    <row r="124" spans="2:37" ht="12.5">
      <c r="B124" s="2" t="str">
        <f ca="1">IFERROR(__xludf.DUMMYFUNCTION("""COMPUTED_VALUE"""),"敦賀高")</f>
        <v>敦賀高</v>
      </c>
      <c r="C124" s="2" t="e">
        <f ca="1"/>
        <v>#N/A</v>
      </c>
      <c r="D124" s="2" t="e">
        <f ca="1"/>
        <v>#REF!</v>
      </c>
      <c r="E124" s="29" t="e">
        <f ca="1"/>
        <v>#REF!</v>
      </c>
      <c r="F124" s="30" t="e">
        <f ca="1"/>
        <v>#REF!</v>
      </c>
      <c r="G124" s="29" t="e">
        <f ca="1"/>
        <v>#REF!</v>
      </c>
      <c r="H124" s="30" t="e">
        <f ca="1"/>
        <v>#REF!</v>
      </c>
      <c r="I124" s="29" t="e">
        <f ca="1"/>
        <v>#REF!</v>
      </c>
      <c r="J124" s="29" t="e">
        <f ca="1"/>
        <v>#REF!</v>
      </c>
      <c r="K124" s="29" t="e">
        <f ca="1"/>
        <v>#REF!</v>
      </c>
      <c r="L124" s="29" t="e">
        <f ca="1"/>
        <v>#REF!</v>
      </c>
      <c r="M124" s="29" t="e">
        <f ca="1"/>
        <v>#REF!</v>
      </c>
      <c r="N124" s="29" t="e">
        <f ca="1"/>
        <v>#REF!</v>
      </c>
      <c r="O124" s="2" t="e">
        <f ca="1"/>
        <v>#N/A</v>
      </c>
      <c r="P124" s="2" t="e">
        <f ca="1"/>
        <v>#N/A</v>
      </c>
      <c r="Q124" s="2" t="s">
        <v>5</v>
      </c>
      <c r="R124" s="2" t="s">
        <v>5</v>
      </c>
      <c r="U124" s="2"/>
      <c r="V124" s="2" t="s">
        <v>5</v>
      </c>
      <c r="W124" s="2" t="s">
        <v>5</v>
      </c>
      <c r="X124" s="29" t="s">
        <v>5</v>
      </c>
      <c r="Y124" s="30" t="s">
        <v>5</v>
      </c>
      <c r="Z124" s="29" t="s">
        <v>5</v>
      </c>
      <c r="AA124" s="30" t="s">
        <v>5</v>
      </c>
      <c r="AB124" s="29" t="s">
        <v>5</v>
      </c>
      <c r="AC124" s="29" t="s">
        <v>5</v>
      </c>
      <c r="AD124" s="29" t="s">
        <v>5</v>
      </c>
      <c r="AE124" s="29" t="s">
        <v>5</v>
      </c>
      <c r="AF124" s="29" t="s">
        <v>5</v>
      </c>
      <c r="AG124" s="29" t="s">
        <v>5</v>
      </c>
      <c r="AH124" s="2" t="s">
        <v>5</v>
      </c>
      <c r="AI124" s="2" t="s">
        <v>5</v>
      </c>
      <c r="AJ124" s="2" t="s">
        <v>5</v>
      </c>
      <c r="AK124" s="2" t="s">
        <v>5</v>
      </c>
    </row>
    <row r="125" spans="2:37" ht="12.5">
      <c r="B125" s="2" t="str">
        <f ca="1">IFERROR(__xludf.DUMMYFUNCTION("""COMPUTED_VALUE"""),"飯田高")</f>
        <v>飯田高</v>
      </c>
      <c r="C125" s="2" t="e">
        <f ca="1"/>
        <v>#N/A</v>
      </c>
      <c r="D125" s="2" t="e">
        <f ca="1"/>
        <v>#REF!</v>
      </c>
      <c r="E125" s="29" t="e">
        <f ca="1"/>
        <v>#REF!</v>
      </c>
      <c r="F125" s="30" t="e">
        <f ca="1"/>
        <v>#REF!</v>
      </c>
      <c r="G125" s="29" t="e">
        <f ca="1"/>
        <v>#REF!</v>
      </c>
      <c r="H125" s="30" t="e">
        <f ca="1"/>
        <v>#REF!</v>
      </c>
      <c r="I125" s="29" t="e">
        <f ca="1"/>
        <v>#REF!</v>
      </c>
      <c r="J125" s="29" t="e">
        <f ca="1"/>
        <v>#REF!</v>
      </c>
      <c r="K125" s="29" t="e">
        <f ca="1"/>
        <v>#REF!</v>
      </c>
      <c r="L125" s="29" t="e">
        <f ca="1"/>
        <v>#REF!</v>
      </c>
      <c r="M125" s="29" t="e">
        <f ca="1"/>
        <v>#REF!</v>
      </c>
      <c r="N125" s="29" t="e">
        <f ca="1"/>
        <v>#REF!</v>
      </c>
      <c r="O125" s="2" t="e">
        <f ca="1"/>
        <v>#N/A</v>
      </c>
      <c r="P125" s="2" t="e">
        <f ca="1"/>
        <v>#N/A</v>
      </c>
      <c r="Q125" s="2" t="s">
        <v>5</v>
      </c>
      <c r="R125" s="2" t="s">
        <v>5</v>
      </c>
      <c r="U125" s="2"/>
      <c r="V125" s="2" t="s">
        <v>5</v>
      </c>
      <c r="W125" s="2" t="s">
        <v>5</v>
      </c>
      <c r="X125" s="29" t="s">
        <v>5</v>
      </c>
      <c r="Y125" s="30" t="s">
        <v>5</v>
      </c>
      <c r="Z125" s="29" t="s">
        <v>5</v>
      </c>
      <c r="AA125" s="30" t="s">
        <v>5</v>
      </c>
      <c r="AB125" s="29" t="s">
        <v>5</v>
      </c>
      <c r="AC125" s="29" t="s">
        <v>5</v>
      </c>
      <c r="AD125" s="29" t="s">
        <v>5</v>
      </c>
      <c r="AE125" s="29" t="s">
        <v>5</v>
      </c>
      <c r="AF125" s="29" t="s">
        <v>5</v>
      </c>
      <c r="AG125" s="29" t="s">
        <v>5</v>
      </c>
      <c r="AH125" s="2" t="s">
        <v>5</v>
      </c>
      <c r="AI125" s="2" t="s">
        <v>5</v>
      </c>
      <c r="AJ125" s="2" t="s">
        <v>5</v>
      </c>
      <c r="AK125" s="2" t="s">
        <v>5</v>
      </c>
    </row>
    <row r="126" spans="2:37" ht="12.5">
      <c r="B126" s="2" t="str">
        <f ca="1">IFERROR(__xludf.DUMMYFUNCTION("""COMPUTED_VALUE"""),"鶯谷高")</f>
        <v>鶯谷高</v>
      </c>
      <c r="C126" s="2" t="e">
        <f ca="1"/>
        <v>#N/A</v>
      </c>
      <c r="D126" s="2" t="e">
        <f ca="1"/>
        <v>#REF!</v>
      </c>
      <c r="E126" s="29" t="e">
        <f ca="1"/>
        <v>#REF!</v>
      </c>
      <c r="F126" s="30" t="e">
        <f ca="1"/>
        <v>#REF!</v>
      </c>
      <c r="G126" s="29" t="e">
        <f ca="1"/>
        <v>#REF!</v>
      </c>
      <c r="H126" s="30" t="e">
        <f ca="1"/>
        <v>#REF!</v>
      </c>
      <c r="I126" s="29" t="e">
        <f ca="1"/>
        <v>#REF!</v>
      </c>
      <c r="J126" s="29" t="e">
        <f ca="1"/>
        <v>#REF!</v>
      </c>
      <c r="K126" s="29" t="e">
        <f ca="1"/>
        <v>#REF!</v>
      </c>
      <c r="L126" s="29" t="e">
        <f ca="1"/>
        <v>#REF!</v>
      </c>
      <c r="M126" s="29" t="e">
        <f ca="1"/>
        <v>#REF!</v>
      </c>
      <c r="N126" s="29" t="e">
        <f ca="1"/>
        <v>#REF!</v>
      </c>
      <c r="O126" s="2" t="e">
        <f ca="1"/>
        <v>#N/A</v>
      </c>
      <c r="P126" s="2" t="e">
        <f ca="1"/>
        <v>#N/A</v>
      </c>
      <c r="Q126" s="2" t="s">
        <v>5</v>
      </c>
      <c r="R126" s="2" t="s">
        <v>5</v>
      </c>
      <c r="U126" s="2"/>
      <c r="V126" s="2" t="s">
        <v>5</v>
      </c>
      <c r="W126" s="2" t="s">
        <v>5</v>
      </c>
      <c r="X126" s="29" t="s">
        <v>5</v>
      </c>
      <c r="Y126" s="30" t="s">
        <v>5</v>
      </c>
      <c r="Z126" s="29" t="s">
        <v>5</v>
      </c>
      <c r="AA126" s="30" t="s">
        <v>5</v>
      </c>
      <c r="AB126" s="29" t="s">
        <v>5</v>
      </c>
      <c r="AC126" s="29" t="s">
        <v>5</v>
      </c>
      <c r="AD126" s="29" t="s">
        <v>5</v>
      </c>
      <c r="AE126" s="29" t="s">
        <v>5</v>
      </c>
      <c r="AF126" s="29" t="s">
        <v>5</v>
      </c>
      <c r="AG126" s="29" t="s">
        <v>5</v>
      </c>
      <c r="AH126" s="2" t="s">
        <v>5</v>
      </c>
      <c r="AI126" s="2" t="s">
        <v>5</v>
      </c>
      <c r="AJ126" s="2" t="s">
        <v>5</v>
      </c>
      <c r="AK126" s="2" t="s">
        <v>5</v>
      </c>
    </row>
    <row r="127" spans="2:37" ht="12.5">
      <c r="B127" s="2" t="str">
        <f ca="1">IFERROR(__xludf.DUMMYFUNCTION("""COMPUTED_VALUE"""),"静岡雙葉高")</f>
        <v>静岡雙葉高</v>
      </c>
      <c r="C127" s="2" t="e">
        <f ca="1"/>
        <v>#N/A</v>
      </c>
      <c r="D127" s="2" t="e">
        <f ca="1"/>
        <v>#REF!</v>
      </c>
      <c r="E127" s="29" t="e">
        <f ca="1"/>
        <v>#REF!</v>
      </c>
      <c r="F127" s="30" t="e">
        <f ca="1"/>
        <v>#REF!</v>
      </c>
      <c r="G127" s="29" t="e">
        <f ca="1"/>
        <v>#REF!</v>
      </c>
      <c r="H127" s="30" t="e">
        <f ca="1"/>
        <v>#REF!</v>
      </c>
      <c r="I127" s="29" t="e">
        <f ca="1"/>
        <v>#REF!</v>
      </c>
      <c r="J127" s="29" t="e">
        <f ca="1"/>
        <v>#REF!</v>
      </c>
      <c r="K127" s="29" t="e">
        <f ca="1"/>
        <v>#REF!</v>
      </c>
      <c r="L127" s="29" t="e">
        <f ca="1"/>
        <v>#REF!</v>
      </c>
      <c r="M127" s="29" t="e">
        <f ca="1"/>
        <v>#REF!</v>
      </c>
      <c r="N127" s="29" t="e">
        <f ca="1"/>
        <v>#REF!</v>
      </c>
      <c r="O127" s="2" t="e">
        <f ca="1"/>
        <v>#N/A</v>
      </c>
      <c r="P127" s="2" t="e">
        <f ca="1"/>
        <v>#N/A</v>
      </c>
      <c r="Q127" s="2" t="s">
        <v>5</v>
      </c>
      <c r="R127" s="2" t="s">
        <v>5</v>
      </c>
      <c r="U127" s="2"/>
      <c r="V127" s="2" t="s">
        <v>5</v>
      </c>
      <c r="W127" s="2" t="s">
        <v>5</v>
      </c>
      <c r="X127" s="29" t="s">
        <v>5</v>
      </c>
      <c r="Y127" s="30" t="s">
        <v>5</v>
      </c>
      <c r="Z127" s="29" t="s">
        <v>5</v>
      </c>
      <c r="AA127" s="30" t="s">
        <v>5</v>
      </c>
      <c r="AB127" s="29" t="s">
        <v>5</v>
      </c>
      <c r="AC127" s="29" t="s">
        <v>5</v>
      </c>
      <c r="AD127" s="29" t="s">
        <v>5</v>
      </c>
      <c r="AE127" s="29" t="s">
        <v>5</v>
      </c>
      <c r="AF127" s="29" t="s">
        <v>5</v>
      </c>
      <c r="AG127" s="29" t="s">
        <v>5</v>
      </c>
      <c r="AH127" s="2" t="s">
        <v>5</v>
      </c>
      <c r="AI127" s="2" t="s">
        <v>5</v>
      </c>
      <c r="AJ127" s="2" t="s">
        <v>5</v>
      </c>
      <c r="AK127" s="2" t="s">
        <v>5</v>
      </c>
    </row>
    <row r="128" spans="2:37" ht="12.5">
      <c r="B128" s="2" t="str">
        <f ca="1">IFERROR(__xludf.DUMMYFUNCTION("""COMPUTED_VALUE"""),"愛知淑徳高")</f>
        <v>愛知淑徳高</v>
      </c>
      <c r="C128" s="2" t="e">
        <f ca="1"/>
        <v>#N/A</v>
      </c>
      <c r="D128" s="2" t="e">
        <f ca="1"/>
        <v>#REF!</v>
      </c>
      <c r="E128" s="29" t="e">
        <f ca="1"/>
        <v>#REF!</v>
      </c>
      <c r="F128" s="30" t="e">
        <f ca="1"/>
        <v>#REF!</v>
      </c>
      <c r="G128" s="29" t="e">
        <f ca="1"/>
        <v>#REF!</v>
      </c>
      <c r="H128" s="30" t="e">
        <f ca="1"/>
        <v>#REF!</v>
      </c>
      <c r="I128" s="29" t="e">
        <f ca="1"/>
        <v>#REF!</v>
      </c>
      <c r="J128" s="29" t="e">
        <f ca="1"/>
        <v>#REF!</v>
      </c>
      <c r="K128" s="29" t="e">
        <f ca="1"/>
        <v>#REF!</v>
      </c>
      <c r="L128" s="29" t="e">
        <f ca="1"/>
        <v>#REF!</v>
      </c>
      <c r="M128" s="29" t="e">
        <f ca="1"/>
        <v>#REF!</v>
      </c>
      <c r="N128" s="29" t="e">
        <f ca="1"/>
        <v>#REF!</v>
      </c>
      <c r="O128" s="2" t="e">
        <f ca="1"/>
        <v>#N/A</v>
      </c>
      <c r="P128" s="2" t="e">
        <f ca="1"/>
        <v>#N/A</v>
      </c>
      <c r="Q128" s="2" t="s">
        <v>5</v>
      </c>
      <c r="R128" s="2" t="s">
        <v>5</v>
      </c>
      <c r="U128" s="2"/>
      <c r="V128" s="2" t="s">
        <v>5</v>
      </c>
      <c r="W128" s="2" t="s">
        <v>5</v>
      </c>
      <c r="X128" s="29" t="s">
        <v>5</v>
      </c>
      <c r="Y128" s="30" t="s">
        <v>5</v>
      </c>
      <c r="Z128" s="29" t="s">
        <v>5</v>
      </c>
      <c r="AA128" s="30" t="s">
        <v>5</v>
      </c>
      <c r="AB128" s="29" t="s">
        <v>5</v>
      </c>
      <c r="AC128" s="29" t="s">
        <v>5</v>
      </c>
      <c r="AD128" s="29" t="s">
        <v>5</v>
      </c>
      <c r="AE128" s="29" t="s">
        <v>5</v>
      </c>
      <c r="AF128" s="29" t="s">
        <v>5</v>
      </c>
      <c r="AG128" s="29" t="s">
        <v>5</v>
      </c>
      <c r="AH128" s="2" t="s">
        <v>5</v>
      </c>
      <c r="AI128" s="2" t="s">
        <v>5</v>
      </c>
      <c r="AJ128" s="2" t="s">
        <v>5</v>
      </c>
      <c r="AK128" s="2" t="s">
        <v>5</v>
      </c>
    </row>
    <row r="129" spans="2:37" ht="12.5">
      <c r="B129" s="2" t="str">
        <f ca="1">IFERROR(__xludf.DUMMYFUNCTION("""COMPUTED_VALUE"""),"比叡山高")</f>
        <v>比叡山高</v>
      </c>
      <c r="C129" s="2" t="e">
        <f ca="1"/>
        <v>#N/A</v>
      </c>
      <c r="D129" s="2" t="e">
        <f ca="1"/>
        <v>#REF!</v>
      </c>
      <c r="E129" s="29" t="e">
        <f ca="1"/>
        <v>#REF!</v>
      </c>
      <c r="F129" s="30" t="e">
        <f ca="1"/>
        <v>#REF!</v>
      </c>
      <c r="G129" s="29" t="e">
        <f ca="1"/>
        <v>#REF!</v>
      </c>
      <c r="H129" s="30" t="e">
        <f ca="1"/>
        <v>#REF!</v>
      </c>
      <c r="I129" s="29" t="e">
        <f ca="1"/>
        <v>#REF!</v>
      </c>
      <c r="J129" s="29" t="e">
        <f ca="1"/>
        <v>#REF!</v>
      </c>
      <c r="K129" s="29" t="e">
        <f ca="1"/>
        <v>#REF!</v>
      </c>
      <c r="L129" s="29" t="e">
        <f ca="1"/>
        <v>#REF!</v>
      </c>
      <c r="M129" s="29" t="e">
        <f ca="1"/>
        <v>#REF!</v>
      </c>
      <c r="N129" s="29" t="e">
        <f ca="1"/>
        <v>#REF!</v>
      </c>
      <c r="O129" s="2" t="e">
        <f ca="1"/>
        <v>#N/A</v>
      </c>
      <c r="P129" s="2" t="e">
        <f ca="1"/>
        <v>#N/A</v>
      </c>
      <c r="Q129" s="2" t="s">
        <v>5</v>
      </c>
      <c r="R129" s="2" t="s">
        <v>5</v>
      </c>
      <c r="U129" s="2"/>
      <c r="V129" s="2" t="s">
        <v>5</v>
      </c>
      <c r="W129" s="2" t="s">
        <v>5</v>
      </c>
      <c r="X129" s="29" t="s">
        <v>5</v>
      </c>
      <c r="Y129" s="30" t="s">
        <v>5</v>
      </c>
      <c r="Z129" s="29" t="s">
        <v>5</v>
      </c>
      <c r="AA129" s="30" t="s">
        <v>5</v>
      </c>
      <c r="AB129" s="29" t="s">
        <v>5</v>
      </c>
      <c r="AC129" s="29" t="s">
        <v>5</v>
      </c>
      <c r="AD129" s="29" t="s">
        <v>5</v>
      </c>
      <c r="AE129" s="29" t="s">
        <v>5</v>
      </c>
      <c r="AF129" s="29" t="s">
        <v>5</v>
      </c>
      <c r="AG129" s="29" t="s">
        <v>5</v>
      </c>
      <c r="AH129" s="2" t="s">
        <v>5</v>
      </c>
      <c r="AI129" s="2" t="s">
        <v>5</v>
      </c>
      <c r="AJ129" s="2" t="s">
        <v>5</v>
      </c>
      <c r="AK129" s="2" t="s">
        <v>5</v>
      </c>
    </row>
    <row r="130" spans="2:37" ht="12.5">
      <c r="B130" s="2" t="str">
        <f ca="1">IFERROR(__xludf.DUMMYFUNCTION("""COMPUTED_VALUE"""),"山城高")</f>
        <v>山城高</v>
      </c>
      <c r="C130" s="2" t="e">
        <f ca="1"/>
        <v>#N/A</v>
      </c>
      <c r="D130" s="2" t="e">
        <f ca="1"/>
        <v>#REF!</v>
      </c>
      <c r="E130" s="29" t="e">
        <f ca="1"/>
        <v>#REF!</v>
      </c>
      <c r="F130" s="30" t="e">
        <f ca="1"/>
        <v>#REF!</v>
      </c>
      <c r="G130" s="29" t="e">
        <f ca="1"/>
        <v>#REF!</v>
      </c>
      <c r="H130" s="30" t="e">
        <f ca="1"/>
        <v>#REF!</v>
      </c>
      <c r="I130" s="29" t="e">
        <f ca="1"/>
        <v>#REF!</v>
      </c>
      <c r="J130" s="29" t="e">
        <f ca="1"/>
        <v>#REF!</v>
      </c>
      <c r="K130" s="29" t="e">
        <f ca="1"/>
        <v>#REF!</v>
      </c>
      <c r="L130" s="29" t="e">
        <f ca="1"/>
        <v>#REF!</v>
      </c>
      <c r="M130" s="29" t="e">
        <f ca="1"/>
        <v>#REF!</v>
      </c>
      <c r="N130" s="29" t="e">
        <f ca="1"/>
        <v>#REF!</v>
      </c>
      <c r="O130" s="2" t="e">
        <f ca="1"/>
        <v>#N/A</v>
      </c>
      <c r="P130" s="2" t="e">
        <f ca="1"/>
        <v>#N/A</v>
      </c>
      <c r="Q130" s="2" t="s">
        <v>5</v>
      </c>
      <c r="R130" s="2" t="s">
        <v>5</v>
      </c>
      <c r="U130" s="2"/>
      <c r="V130" s="2" t="s">
        <v>5</v>
      </c>
      <c r="W130" s="2" t="s">
        <v>5</v>
      </c>
      <c r="X130" s="29" t="s">
        <v>5</v>
      </c>
      <c r="Y130" s="30" t="s">
        <v>5</v>
      </c>
      <c r="Z130" s="29" t="s">
        <v>5</v>
      </c>
      <c r="AA130" s="30" t="s">
        <v>5</v>
      </c>
      <c r="AB130" s="29" t="s">
        <v>5</v>
      </c>
      <c r="AC130" s="29" t="s">
        <v>5</v>
      </c>
      <c r="AD130" s="29" t="s">
        <v>5</v>
      </c>
      <c r="AE130" s="29" t="s">
        <v>5</v>
      </c>
      <c r="AF130" s="29" t="s">
        <v>5</v>
      </c>
      <c r="AG130" s="29" t="s">
        <v>5</v>
      </c>
      <c r="AH130" s="2" t="s">
        <v>5</v>
      </c>
      <c r="AI130" s="2" t="s">
        <v>5</v>
      </c>
      <c r="AJ130" s="2" t="s">
        <v>5</v>
      </c>
      <c r="AK130" s="2" t="s">
        <v>5</v>
      </c>
    </row>
    <row r="131" spans="2:37" ht="12.5">
      <c r="B131" s="2" t="str">
        <f ca="1">IFERROR(__xludf.DUMMYFUNCTION("""COMPUTED_VALUE"""),"同志社国際高")</f>
        <v>同志社国際高</v>
      </c>
      <c r="C131" s="2" t="e">
        <f ca="1"/>
        <v>#N/A</v>
      </c>
      <c r="D131" s="2" t="e">
        <f ca="1"/>
        <v>#REF!</v>
      </c>
      <c r="E131" s="29" t="e">
        <f ca="1"/>
        <v>#REF!</v>
      </c>
      <c r="F131" s="30" t="e">
        <f ca="1"/>
        <v>#REF!</v>
      </c>
      <c r="G131" s="29" t="e">
        <f ca="1"/>
        <v>#REF!</v>
      </c>
      <c r="H131" s="30" t="e">
        <f ca="1"/>
        <v>#REF!</v>
      </c>
      <c r="I131" s="29" t="e">
        <f ca="1"/>
        <v>#REF!</v>
      </c>
      <c r="J131" s="29" t="e">
        <f ca="1"/>
        <v>#REF!</v>
      </c>
      <c r="K131" s="29" t="e">
        <f ca="1"/>
        <v>#REF!</v>
      </c>
      <c r="L131" s="29" t="e">
        <f ca="1"/>
        <v>#REF!</v>
      </c>
      <c r="M131" s="29" t="e">
        <f ca="1"/>
        <v>#REF!</v>
      </c>
      <c r="N131" s="29" t="e">
        <f ca="1"/>
        <v>#REF!</v>
      </c>
      <c r="O131" s="2" t="e">
        <f ca="1"/>
        <v>#N/A</v>
      </c>
      <c r="P131" s="2" t="e">
        <f ca="1"/>
        <v>#N/A</v>
      </c>
      <c r="Q131" s="2" t="s">
        <v>5</v>
      </c>
      <c r="R131" s="2" t="s">
        <v>5</v>
      </c>
      <c r="U131" s="2"/>
      <c r="V131" s="2" t="s">
        <v>5</v>
      </c>
      <c r="W131" s="2" t="s">
        <v>5</v>
      </c>
      <c r="X131" s="29" t="s">
        <v>5</v>
      </c>
      <c r="Y131" s="30" t="s">
        <v>5</v>
      </c>
      <c r="Z131" s="29" t="s">
        <v>5</v>
      </c>
      <c r="AA131" s="30" t="s">
        <v>5</v>
      </c>
      <c r="AB131" s="29" t="s">
        <v>5</v>
      </c>
      <c r="AC131" s="29" t="s">
        <v>5</v>
      </c>
      <c r="AD131" s="29" t="s">
        <v>5</v>
      </c>
      <c r="AE131" s="29" t="s">
        <v>5</v>
      </c>
      <c r="AF131" s="29" t="s">
        <v>5</v>
      </c>
      <c r="AG131" s="29" t="s">
        <v>5</v>
      </c>
      <c r="AH131" s="2" t="s">
        <v>5</v>
      </c>
      <c r="AI131" s="2" t="s">
        <v>5</v>
      </c>
      <c r="AJ131" s="2" t="s">
        <v>5</v>
      </c>
      <c r="AK131" s="2" t="s">
        <v>5</v>
      </c>
    </row>
    <row r="132" spans="2:37" ht="12.5">
      <c r="B132" s="2" t="str">
        <f ca="1">IFERROR(__xludf.DUMMYFUNCTION("""COMPUTED_VALUE"""),"寝屋川高")</f>
        <v>寝屋川高</v>
      </c>
      <c r="C132" s="2" t="e">
        <f ca="1"/>
        <v>#N/A</v>
      </c>
      <c r="D132" s="2" t="e">
        <f ca="1"/>
        <v>#REF!</v>
      </c>
      <c r="E132" s="29" t="e">
        <f ca="1"/>
        <v>#REF!</v>
      </c>
      <c r="F132" s="30" t="e">
        <f ca="1"/>
        <v>#REF!</v>
      </c>
      <c r="G132" s="29" t="e">
        <f ca="1"/>
        <v>#REF!</v>
      </c>
      <c r="H132" s="30" t="e">
        <f ca="1"/>
        <v>#REF!</v>
      </c>
      <c r="I132" s="29" t="e">
        <f ca="1"/>
        <v>#REF!</v>
      </c>
      <c r="J132" s="29" t="e">
        <f ca="1"/>
        <v>#REF!</v>
      </c>
      <c r="K132" s="29" t="e">
        <f ca="1"/>
        <v>#REF!</v>
      </c>
      <c r="L132" s="29" t="e">
        <f ca="1"/>
        <v>#REF!</v>
      </c>
      <c r="M132" s="29" t="e">
        <f ca="1"/>
        <v>#REF!</v>
      </c>
      <c r="N132" s="29" t="e">
        <f ca="1"/>
        <v>#REF!</v>
      </c>
      <c r="O132" s="2" t="e">
        <f ca="1"/>
        <v>#N/A</v>
      </c>
      <c r="P132" s="2" t="e">
        <f ca="1"/>
        <v>#N/A</v>
      </c>
      <c r="Q132" s="2" t="s">
        <v>5</v>
      </c>
      <c r="R132" s="2" t="s">
        <v>5</v>
      </c>
      <c r="U132" s="2"/>
      <c r="V132" s="2" t="s">
        <v>5</v>
      </c>
      <c r="W132" s="2" t="s">
        <v>5</v>
      </c>
      <c r="X132" s="29" t="s">
        <v>5</v>
      </c>
      <c r="Y132" s="30" t="s">
        <v>5</v>
      </c>
      <c r="Z132" s="29" t="s">
        <v>5</v>
      </c>
      <c r="AA132" s="30" t="s">
        <v>5</v>
      </c>
      <c r="AB132" s="29" t="s">
        <v>5</v>
      </c>
      <c r="AC132" s="29" t="s">
        <v>5</v>
      </c>
      <c r="AD132" s="29" t="s">
        <v>5</v>
      </c>
      <c r="AE132" s="29" t="s">
        <v>5</v>
      </c>
      <c r="AF132" s="29" t="s">
        <v>5</v>
      </c>
      <c r="AG132" s="29" t="s">
        <v>5</v>
      </c>
      <c r="AH132" s="2" t="s">
        <v>5</v>
      </c>
      <c r="AI132" s="2" t="s">
        <v>5</v>
      </c>
      <c r="AJ132" s="2" t="s">
        <v>5</v>
      </c>
      <c r="AK132" s="2" t="s">
        <v>5</v>
      </c>
    </row>
    <row r="133" spans="2:37" ht="12.5">
      <c r="B133" s="2" t="str">
        <f ca="1">IFERROR(__xludf.DUMMYFUNCTION("""COMPUTED_VALUE"""),"大手前高")</f>
        <v>大手前高</v>
      </c>
      <c r="C133" s="2" t="e">
        <f ca="1"/>
        <v>#N/A</v>
      </c>
      <c r="D133" s="2" t="e">
        <f ca="1"/>
        <v>#REF!</v>
      </c>
      <c r="E133" s="29" t="e">
        <f ca="1"/>
        <v>#REF!</v>
      </c>
      <c r="F133" s="30" t="e">
        <f ca="1"/>
        <v>#REF!</v>
      </c>
      <c r="G133" s="29" t="e">
        <f ca="1"/>
        <v>#REF!</v>
      </c>
      <c r="H133" s="30" t="e">
        <f ca="1"/>
        <v>#REF!</v>
      </c>
      <c r="I133" s="29" t="e">
        <f ca="1"/>
        <v>#REF!</v>
      </c>
      <c r="J133" s="29" t="e">
        <f ca="1"/>
        <v>#REF!</v>
      </c>
      <c r="K133" s="29" t="e">
        <f ca="1"/>
        <v>#REF!</v>
      </c>
      <c r="L133" s="29" t="e">
        <f ca="1"/>
        <v>#REF!</v>
      </c>
      <c r="M133" s="29" t="e">
        <f ca="1"/>
        <v>#REF!</v>
      </c>
      <c r="N133" s="29" t="e">
        <f ca="1"/>
        <v>#REF!</v>
      </c>
      <c r="O133" s="2" t="e">
        <f ca="1"/>
        <v>#N/A</v>
      </c>
      <c r="P133" s="2" t="e">
        <f ca="1"/>
        <v>#N/A</v>
      </c>
      <c r="Q133" s="2" t="s">
        <v>5</v>
      </c>
      <c r="R133" s="2" t="s">
        <v>5</v>
      </c>
      <c r="U133" s="2"/>
      <c r="V133" s="2" t="s">
        <v>5</v>
      </c>
      <c r="W133" s="2" t="s">
        <v>5</v>
      </c>
      <c r="X133" s="29" t="s">
        <v>5</v>
      </c>
      <c r="Y133" s="30" t="s">
        <v>5</v>
      </c>
      <c r="Z133" s="29" t="s">
        <v>5</v>
      </c>
      <c r="AA133" s="30" t="s">
        <v>5</v>
      </c>
      <c r="AB133" s="29" t="s">
        <v>5</v>
      </c>
      <c r="AC133" s="29" t="s">
        <v>5</v>
      </c>
      <c r="AD133" s="29" t="s">
        <v>5</v>
      </c>
      <c r="AE133" s="29" t="s">
        <v>5</v>
      </c>
      <c r="AF133" s="29" t="s">
        <v>5</v>
      </c>
      <c r="AG133" s="29" t="s">
        <v>5</v>
      </c>
      <c r="AH133" s="2" t="s">
        <v>5</v>
      </c>
      <c r="AI133" s="2" t="s">
        <v>5</v>
      </c>
      <c r="AJ133" s="2" t="s">
        <v>5</v>
      </c>
      <c r="AK133" s="2" t="s">
        <v>5</v>
      </c>
    </row>
    <row r="134" spans="2:37" ht="12.5">
      <c r="B134" s="2" t="str">
        <f ca="1">IFERROR(__xludf.DUMMYFUNCTION("""COMPUTED_VALUE"""),"神戸高")</f>
        <v>神戸高</v>
      </c>
      <c r="C134" s="2" t="e">
        <f ca="1"/>
        <v>#N/A</v>
      </c>
      <c r="D134" s="2" t="e">
        <f ca="1"/>
        <v>#REF!</v>
      </c>
      <c r="E134" s="29" t="e">
        <f ca="1"/>
        <v>#REF!</v>
      </c>
      <c r="F134" s="30" t="e">
        <f ca="1"/>
        <v>#REF!</v>
      </c>
      <c r="G134" s="29" t="e">
        <f ca="1"/>
        <v>#REF!</v>
      </c>
      <c r="H134" s="30" t="e">
        <f ca="1"/>
        <v>#REF!</v>
      </c>
      <c r="I134" s="29" t="e">
        <f ca="1"/>
        <v>#REF!</v>
      </c>
      <c r="J134" s="29" t="e">
        <f ca="1"/>
        <v>#REF!</v>
      </c>
      <c r="K134" s="29" t="e">
        <f ca="1"/>
        <v>#REF!</v>
      </c>
      <c r="L134" s="29" t="e">
        <f ca="1"/>
        <v>#REF!</v>
      </c>
      <c r="M134" s="29" t="e">
        <f ca="1"/>
        <v>#REF!</v>
      </c>
      <c r="N134" s="29" t="e">
        <f ca="1"/>
        <v>#REF!</v>
      </c>
      <c r="O134" s="2" t="e">
        <f ca="1"/>
        <v>#N/A</v>
      </c>
      <c r="P134" s="2" t="e">
        <f ca="1"/>
        <v>#N/A</v>
      </c>
      <c r="Q134" s="2" t="s">
        <v>5</v>
      </c>
      <c r="R134" s="2" t="s">
        <v>5</v>
      </c>
      <c r="U134" s="2"/>
      <c r="V134" s="2" t="s">
        <v>5</v>
      </c>
      <c r="W134" s="2" t="s">
        <v>5</v>
      </c>
      <c r="X134" s="29" t="s">
        <v>5</v>
      </c>
      <c r="Y134" s="30" t="s">
        <v>5</v>
      </c>
      <c r="Z134" s="29" t="s">
        <v>5</v>
      </c>
      <c r="AA134" s="30" t="s">
        <v>5</v>
      </c>
      <c r="AB134" s="29" t="s">
        <v>5</v>
      </c>
      <c r="AC134" s="29" t="s">
        <v>5</v>
      </c>
      <c r="AD134" s="29" t="s">
        <v>5</v>
      </c>
      <c r="AE134" s="29" t="s">
        <v>5</v>
      </c>
      <c r="AF134" s="29" t="s">
        <v>5</v>
      </c>
      <c r="AG134" s="29" t="s">
        <v>5</v>
      </c>
      <c r="AH134" s="2" t="s">
        <v>5</v>
      </c>
      <c r="AI134" s="2" t="s">
        <v>5</v>
      </c>
      <c r="AJ134" s="2" t="s">
        <v>5</v>
      </c>
      <c r="AK134" s="2" t="s">
        <v>5</v>
      </c>
    </row>
    <row r="135" spans="2:37" ht="12.5">
      <c r="B135" s="2" t="str">
        <f ca="1">IFERROR(__xludf.DUMMYFUNCTION("""COMPUTED_VALUE"""),"育英高")</f>
        <v>育英高</v>
      </c>
      <c r="C135" s="2" t="e">
        <f ca="1"/>
        <v>#N/A</v>
      </c>
      <c r="D135" s="2" t="e">
        <f ca="1"/>
        <v>#REF!</v>
      </c>
      <c r="E135" s="29" t="e">
        <f ca="1"/>
        <v>#REF!</v>
      </c>
      <c r="F135" s="30" t="e">
        <f ca="1"/>
        <v>#REF!</v>
      </c>
      <c r="G135" s="29" t="e">
        <f ca="1"/>
        <v>#REF!</v>
      </c>
      <c r="H135" s="30" t="e">
        <f ca="1"/>
        <v>#REF!</v>
      </c>
      <c r="I135" s="29" t="e">
        <f ca="1"/>
        <v>#REF!</v>
      </c>
      <c r="J135" s="29" t="e">
        <f ca="1"/>
        <v>#REF!</v>
      </c>
      <c r="K135" s="29" t="e">
        <f ca="1"/>
        <v>#REF!</v>
      </c>
      <c r="L135" s="29" t="e">
        <f ca="1"/>
        <v>#REF!</v>
      </c>
      <c r="M135" s="29" t="e">
        <f ca="1"/>
        <v>#REF!</v>
      </c>
      <c r="N135" s="29" t="e">
        <f ca="1"/>
        <v>#REF!</v>
      </c>
      <c r="O135" s="2" t="e">
        <f ca="1"/>
        <v>#N/A</v>
      </c>
      <c r="P135" s="2" t="e">
        <f ca="1"/>
        <v>#N/A</v>
      </c>
      <c r="Q135" s="2" t="s">
        <v>5</v>
      </c>
      <c r="R135" s="2" t="s">
        <v>5</v>
      </c>
      <c r="U135" s="2"/>
      <c r="V135" s="2" t="s">
        <v>5</v>
      </c>
      <c r="W135" s="2" t="s">
        <v>5</v>
      </c>
      <c r="X135" s="29" t="s">
        <v>5</v>
      </c>
      <c r="Y135" s="30" t="s">
        <v>5</v>
      </c>
      <c r="Z135" s="29" t="s">
        <v>5</v>
      </c>
      <c r="AA135" s="30" t="s">
        <v>5</v>
      </c>
      <c r="AB135" s="29" t="s">
        <v>5</v>
      </c>
      <c r="AC135" s="29" t="s">
        <v>5</v>
      </c>
      <c r="AD135" s="29" t="s">
        <v>5</v>
      </c>
      <c r="AE135" s="29" t="s">
        <v>5</v>
      </c>
      <c r="AF135" s="29" t="s">
        <v>5</v>
      </c>
      <c r="AG135" s="29" t="s">
        <v>5</v>
      </c>
      <c r="AH135" s="2" t="s">
        <v>5</v>
      </c>
      <c r="AI135" s="2" t="s">
        <v>5</v>
      </c>
      <c r="AJ135" s="2" t="s">
        <v>5</v>
      </c>
      <c r="AK135" s="2" t="s">
        <v>5</v>
      </c>
    </row>
    <row r="136" spans="2:37" ht="12.5">
      <c r="B136" s="2" t="str">
        <f ca="1">IFERROR(__xludf.DUMMYFUNCTION("""COMPUTED_VALUE"""),"出雲高")</f>
        <v>出雲高</v>
      </c>
      <c r="C136" s="2" t="e">
        <f ca="1"/>
        <v>#N/A</v>
      </c>
      <c r="D136" s="2" t="e">
        <f ca="1"/>
        <v>#REF!</v>
      </c>
      <c r="E136" s="29" t="e">
        <f ca="1"/>
        <v>#REF!</v>
      </c>
      <c r="F136" s="30" t="e">
        <f ca="1"/>
        <v>#REF!</v>
      </c>
      <c r="G136" s="29" t="e">
        <f ca="1"/>
        <v>#REF!</v>
      </c>
      <c r="H136" s="30" t="e">
        <f ca="1"/>
        <v>#REF!</v>
      </c>
      <c r="I136" s="29" t="e">
        <f ca="1"/>
        <v>#REF!</v>
      </c>
      <c r="J136" s="29" t="e">
        <f ca="1"/>
        <v>#REF!</v>
      </c>
      <c r="K136" s="29" t="e">
        <f ca="1"/>
        <v>#REF!</v>
      </c>
      <c r="L136" s="29" t="e">
        <f ca="1"/>
        <v>#REF!</v>
      </c>
      <c r="M136" s="29" t="e">
        <f ca="1"/>
        <v>#REF!</v>
      </c>
      <c r="N136" s="29" t="e">
        <f ca="1"/>
        <v>#REF!</v>
      </c>
      <c r="O136" s="2" t="e">
        <f ca="1"/>
        <v>#N/A</v>
      </c>
      <c r="P136" s="2" t="e">
        <f ca="1"/>
        <v>#N/A</v>
      </c>
      <c r="Q136" s="2" t="s">
        <v>5</v>
      </c>
      <c r="R136" s="2" t="s">
        <v>5</v>
      </c>
      <c r="U136" s="2"/>
      <c r="V136" s="2" t="s">
        <v>5</v>
      </c>
      <c r="W136" s="2" t="s">
        <v>5</v>
      </c>
      <c r="X136" s="29" t="s">
        <v>5</v>
      </c>
      <c r="Y136" s="30" t="s">
        <v>5</v>
      </c>
      <c r="Z136" s="29" t="s">
        <v>5</v>
      </c>
      <c r="AA136" s="30" t="s">
        <v>5</v>
      </c>
      <c r="AB136" s="29" t="s">
        <v>5</v>
      </c>
      <c r="AC136" s="29" t="s">
        <v>5</v>
      </c>
      <c r="AD136" s="29" t="s">
        <v>5</v>
      </c>
      <c r="AE136" s="29" t="s">
        <v>5</v>
      </c>
      <c r="AF136" s="29" t="s">
        <v>5</v>
      </c>
      <c r="AG136" s="29" t="s">
        <v>5</v>
      </c>
      <c r="AH136" s="2" t="s">
        <v>5</v>
      </c>
      <c r="AI136" s="2" t="s">
        <v>5</v>
      </c>
      <c r="AJ136" s="2" t="s">
        <v>5</v>
      </c>
      <c r="AK136" s="2" t="s">
        <v>5</v>
      </c>
    </row>
    <row r="137" spans="2:37" ht="12.5">
      <c r="B137" s="2" t="str">
        <f ca="1">IFERROR(__xludf.DUMMYFUNCTION("""COMPUTED_VALUE"""),"愛光高")</f>
        <v>愛光高</v>
      </c>
      <c r="C137" s="2" t="e">
        <f ca="1"/>
        <v>#N/A</v>
      </c>
      <c r="D137" s="2" t="e">
        <f ca="1"/>
        <v>#REF!</v>
      </c>
      <c r="E137" s="29" t="e">
        <f ca="1"/>
        <v>#REF!</v>
      </c>
      <c r="F137" s="30" t="e">
        <f ca="1"/>
        <v>#REF!</v>
      </c>
      <c r="G137" s="29" t="e">
        <f ca="1"/>
        <v>#REF!</v>
      </c>
      <c r="H137" s="30" t="e">
        <f ca="1"/>
        <v>#REF!</v>
      </c>
      <c r="I137" s="29" t="e">
        <f ca="1"/>
        <v>#REF!</v>
      </c>
      <c r="J137" s="29" t="e">
        <f ca="1"/>
        <v>#REF!</v>
      </c>
      <c r="K137" s="29" t="e">
        <f ca="1"/>
        <v>#REF!</v>
      </c>
      <c r="L137" s="29" t="e">
        <f ca="1"/>
        <v>#REF!</v>
      </c>
      <c r="M137" s="29" t="e">
        <f ca="1"/>
        <v>#REF!</v>
      </c>
      <c r="N137" s="29" t="e">
        <f ca="1"/>
        <v>#REF!</v>
      </c>
      <c r="O137" s="2" t="e">
        <f ca="1"/>
        <v>#N/A</v>
      </c>
      <c r="P137" s="2" t="e">
        <f ca="1"/>
        <v>#N/A</v>
      </c>
      <c r="Q137" s="2" t="s">
        <v>5</v>
      </c>
      <c r="R137" s="2" t="s">
        <v>5</v>
      </c>
      <c r="U137" s="2"/>
      <c r="V137" s="2" t="s">
        <v>5</v>
      </c>
      <c r="W137" s="2" t="s">
        <v>5</v>
      </c>
      <c r="X137" s="29" t="s">
        <v>5</v>
      </c>
      <c r="Y137" s="30" t="s">
        <v>5</v>
      </c>
      <c r="Z137" s="29" t="s">
        <v>5</v>
      </c>
      <c r="AA137" s="30" t="s">
        <v>5</v>
      </c>
      <c r="AB137" s="29" t="s">
        <v>5</v>
      </c>
      <c r="AC137" s="29" t="s">
        <v>5</v>
      </c>
      <c r="AD137" s="29" t="s">
        <v>5</v>
      </c>
      <c r="AE137" s="29" t="s">
        <v>5</v>
      </c>
      <c r="AF137" s="29" t="s">
        <v>5</v>
      </c>
      <c r="AG137" s="29" t="s">
        <v>5</v>
      </c>
      <c r="AH137" s="2" t="s">
        <v>5</v>
      </c>
      <c r="AI137" s="2" t="s">
        <v>5</v>
      </c>
      <c r="AJ137" s="2" t="s">
        <v>5</v>
      </c>
      <c r="AK137" s="2" t="s">
        <v>5</v>
      </c>
    </row>
    <row r="138" spans="2:37" ht="12.5">
      <c r="B138" s="2" t="str">
        <f ca="1">IFERROR(__xludf.DUMMYFUNCTION("""COMPUTED_VALUE"""),"宮古高")</f>
        <v>宮古高</v>
      </c>
      <c r="C138" s="2" t="e">
        <f ca="1"/>
        <v>#N/A</v>
      </c>
      <c r="D138" s="2" t="e">
        <f ca="1"/>
        <v>#REF!</v>
      </c>
      <c r="E138" s="29" t="e">
        <f ca="1"/>
        <v>#REF!</v>
      </c>
      <c r="F138" s="30" t="e">
        <f ca="1"/>
        <v>#REF!</v>
      </c>
      <c r="G138" s="29" t="e">
        <f ca="1"/>
        <v>#REF!</v>
      </c>
      <c r="H138" s="30" t="e">
        <f ca="1"/>
        <v>#REF!</v>
      </c>
      <c r="I138" s="29" t="e">
        <f ca="1"/>
        <v>#REF!</v>
      </c>
      <c r="J138" s="29" t="e">
        <f ca="1"/>
        <v>#REF!</v>
      </c>
      <c r="K138" s="29" t="e">
        <f ca="1"/>
        <v>#REF!</v>
      </c>
      <c r="L138" s="29" t="e">
        <f ca="1"/>
        <v>#REF!</v>
      </c>
      <c r="M138" s="29" t="e">
        <f ca="1"/>
        <v>#REF!</v>
      </c>
      <c r="N138" s="29" t="e">
        <f ca="1"/>
        <v>#REF!</v>
      </c>
      <c r="O138" s="2" t="e">
        <f ca="1"/>
        <v>#N/A</v>
      </c>
      <c r="P138" s="2" t="e">
        <f ca="1"/>
        <v>#N/A</v>
      </c>
      <c r="Q138" s="2" t="s">
        <v>5</v>
      </c>
      <c r="R138" s="2" t="s">
        <v>5</v>
      </c>
      <c r="U138" s="2"/>
      <c r="V138" s="2" t="s">
        <v>5</v>
      </c>
      <c r="W138" s="2" t="s">
        <v>5</v>
      </c>
      <c r="X138" s="29" t="s">
        <v>5</v>
      </c>
      <c r="Y138" s="30" t="s">
        <v>5</v>
      </c>
      <c r="Z138" s="29" t="s">
        <v>5</v>
      </c>
      <c r="AA138" s="30" t="s">
        <v>5</v>
      </c>
      <c r="AB138" s="29" t="s">
        <v>5</v>
      </c>
      <c r="AC138" s="29" t="s">
        <v>5</v>
      </c>
      <c r="AD138" s="29" t="s">
        <v>5</v>
      </c>
      <c r="AE138" s="29" t="s">
        <v>5</v>
      </c>
      <c r="AF138" s="29" t="s">
        <v>5</v>
      </c>
      <c r="AG138" s="29" t="s">
        <v>5</v>
      </c>
      <c r="AH138" s="2" t="s">
        <v>5</v>
      </c>
      <c r="AI138" s="2" t="s">
        <v>5</v>
      </c>
      <c r="AJ138" s="2" t="s">
        <v>5</v>
      </c>
      <c r="AK138" s="2" t="s">
        <v>5</v>
      </c>
    </row>
    <row r="139" spans="2:37" ht="12.5">
      <c r="B139" s="2" t="str">
        <f ca="1">IFERROR(__xludf.DUMMYFUNCTION("""COMPUTED_VALUE"""),"宮城第一高")</f>
        <v>宮城第一高</v>
      </c>
      <c r="C139" s="2" t="e">
        <f ca="1"/>
        <v>#N/A</v>
      </c>
      <c r="D139" s="2" t="e">
        <f ca="1"/>
        <v>#REF!</v>
      </c>
      <c r="E139" s="29" t="e">
        <f ca="1"/>
        <v>#REF!</v>
      </c>
      <c r="F139" s="30" t="e">
        <f ca="1"/>
        <v>#REF!</v>
      </c>
      <c r="G139" s="29" t="e">
        <f ca="1"/>
        <v>#REF!</v>
      </c>
      <c r="H139" s="30" t="e">
        <f ca="1"/>
        <v>#REF!</v>
      </c>
      <c r="I139" s="29" t="e">
        <f ca="1"/>
        <v>#REF!</v>
      </c>
      <c r="J139" s="29" t="e">
        <f ca="1"/>
        <v>#REF!</v>
      </c>
      <c r="K139" s="29" t="e">
        <f ca="1"/>
        <v>#REF!</v>
      </c>
      <c r="L139" s="29" t="e">
        <f ca="1"/>
        <v>#REF!</v>
      </c>
      <c r="M139" s="29" t="e">
        <f ca="1"/>
        <v>#REF!</v>
      </c>
      <c r="N139" s="29" t="e">
        <f ca="1"/>
        <v>#REF!</v>
      </c>
      <c r="O139" s="2" t="e">
        <f ca="1"/>
        <v>#N/A</v>
      </c>
      <c r="P139" s="2" t="e">
        <f ca="1"/>
        <v>#N/A</v>
      </c>
      <c r="Q139" s="2" t="s">
        <v>5</v>
      </c>
      <c r="R139" s="2" t="s">
        <v>5</v>
      </c>
      <c r="U139" s="2"/>
      <c r="V139" s="2" t="s">
        <v>5</v>
      </c>
      <c r="W139" s="2" t="s">
        <v>5</v>
      </c>
      <c r="X139" s="29" t="s">
        <v>5</v>
      </c>
      <c r="Y139" s="30" t="s">
        <v>5</v>
      </c>
      <c r="Z139" s="29" t="s">
        <v>5</v>
      </c>
      <c r="AA139" s="30" t="s">
        <v>5</v>
      </c>
      <c r="AB139" s="29" t="s">
        <v>5</v>
      </c>
      <c r="AC139" s="29" t="s">
        <v>5</v>
      </c>
      <c r="AD139" s="29" t="s">
        <v>5</v>
      </c>
      <c r="AE139" s="29" t="s">
        <v>5</v>
      </c>
      <c r="AF139" s="29" t="s">
        <v>5</v>
      </c>
      <c r="AG139" s="29" t="s">
        <v>5</v>
      </c>
      <c r="AH139" s="2" t="s">
        <v>5</v>
      </c>
      <c r="AI139" s="2" t="s">
        <v>5</v>
      </c>
      <c r="AJ139" s="2" t="s">
        <v>5</v>
      </c>
      <c r="AK139" s="2" t="s">
        <v>5</v>
      </c>
    </row>
    <row r="140" spans="2:37" ht="12.5">
      <c r="B140" s="2" t="str">
        <f ca="1">IFERROR(__xludf.DUMMYFUNCTION("""COMPUTED_VALUE"""),"前橋女子高")</f>
        <v>前橋女子高</v>
      </c>
      <c r="C140" s="2" t="e">
        <f ca="1"/>
        <v>#N/A</v>
      </c>
      <c r="D140" s="2" t="e">
        <f ca="1"/>
        <v>#REF!</v>
      </c>
      <c r="E140" s="29" t="e">
        <f ca="1"/>
        <v>#REF!</v>
      </c>
      <c r="F140" s="30" t="e">
        <f ca="1"/>
        <v>#REF!</v>
      </c>
      <c r="G140" s="29" t="e">
        <f ca="1"/>
        <v>#REF!</v>
      </c>
      <c r="H140" s="30" t="e">
        <f ca="1"/>
        <v>#REF!</v>
      </c>
      <c r="I140" s="29" t="e">
        <f ca="1"/>
        <v>#REF!</v>
      </c>
      <c r="J140" s="29" t="e">
        <f ca="1"/>
        <v>#REF!</v>
      </c>
      <c r="K140" s="29" t="e">
        <f ca="1"/>
        <v>#REF!</v>
      </c>
      <c r="L140" s="29" t="e">
        <f ca="1"/>
        <v>#REF!</v>
      </c>
      <c r="M140" s="29" t="e">
        <f ca="1"/>
        <v>#REF!</v>
      </c>
      <c r="N140" s="29" t="e">
        <f ca="1"/>
        <v>#REF!</v>
      </c>
      <c r="O140" s="2" t="e">
        <f ca="1"/>
        <v>#N/A</v>
      </c>
      <c r="P140" s="2" t="e">
        <f ca="1"/>
        <v>#N/A</v>
      </c>
      <c r="Q140" s="2" t="s">
        <v>5</v>
      </c>
      <c r="R140" s="2" t="s">
        <v>5</v>
      </c>
      <c r="U140" s="2"/>
      <c r="V140" s="2" t="s">
        <v>5</v>
      </c>
      <c r="W140" s="2" t="s">
        <v>5</v>
      </c>
      <c r="X140" s="29" t="s">
        <v>5</v>
      </c>
      <c r="Y140" s="30" t="s">
        <v>5</v>
      </c>
      <c r="Z140" s="29" t="s">
        <v>5</v>
      </c>
      <c r="AA140" s="30" t="s">
        <v>5</v>
      </c>
      <c r="AB140" s="29" t="s">
        <v>5</v>
      </c>
      <c r="AC140" s="29" t="s">
        <v>5</v>
      </c>
      <c r="AD140" s="29" t="s">
        <v>5</v>
      </c>
      <c r="AE140" s="29" t="s">
        <v>5</v>
      </c>
      <c r="AF140" s="29" t="s">
        <v>5</v>
      </c>
      <c r="AG140" s="29" t="s">
        <v>5</v>
      </c>
      <c r="AH140" s="2" t="s">
        <v>5</v>
      </c>
      <c r="AI140" s="2" t="s">
        <v>5</v>
      </c>
      <c r="AJ140" s="2" t="s">
        <v>5</v>
      </c>
      <c r="AK140" s="2" t="s">
        <v>5</v>
      </c>
    </row>
    <row r="141" spans="2:37" ht="12.5">
      <c r="B141" s="2" t="str">
        <f ca="1">IFERROR(__xludf.DUMMYFUNCTION("""COMPUTED_VALUE"""),"筑波大附高")</f>
        <v>筑波大附高</v>
      </c>
      <c r="C141" s="2" t="e">
        <f ca="1"/>
        <v>#N/A</v>
      </c>
      <c r="D141" s="2" t="e">
        <f ca="1"/>
        <v>#REF!</v>
      </c>
      <c r="E141" s="29" t="e">
        <f ca="1"/>
        <v>#REF!</v>
      </c>
      <c r="F141" s="30" t="e">
        <f ca="1"/>
        <v>#REF!</v>
      </c>
      <c r="G141" s="29" t="e">
        <f ca="1"/>
        <v>#REF!</v>
      </c>
      <c r="H141" s="30" t="e">
        <f ca="1"/>
        <v>#REF!</v>
      </c>
      <c r="I141" s="29" t="e">
        <f ca="1"/>
        <v>#REF!</v>
      </c>
      <c r="J141" s="29" t="e">
        <f ca="1"/>
        <v>#REF!</v>
      </c>
      <c r="K141" s="29" t="e">
        <f ca="1"/>
        <v>#REF!</v>
      </c>
      <c r="L141" s="29" t="e">
        <f ca="1"/>
        <v>#REF!</v>
      </c>
      <c r="M141" s="29" t="e">
        <f ca="1"/>
        <v>#REF!</v>
      </c>
      <c r="N141" s="29" t="e">
        <f ca="1"/>
        <v>#REF!</v>
      </c>
      <c r="O141" s="2" t="e">
        <f ca="1"/>
        <v>#N/A</v>
      </c>
      <c r="P141" s="2" t="e">
        <f ca="1"/>
        <v>#N/A</v>
      </c>
      <c r="Q141" s="2" t="s">
        <v>5</v>
      </c>
      <c r="R141" s="2" t="s">
        <v>5</v>
      </c>
      <c r="U141" s="2"/>
      <c r="V141" s="2" t="s">
        <v>5</v>
      </c>
      <c r="W141" s="2" t="s">
        <v>5</v>
      </c>
      <c r="X141" s="29" t="s">
        <v>5</v>
      </c>
      <c r="Y141" s="30" t="s">
        <v>5</v>
      </c>
      <c r="Z141" s="29" t="s">
        <v>5</v>
      </c>
      <c r="AA141" s="30" t="s">
        <v>5</v>
      </c>
      <c r="AB141" s="29" t="s">
        <v>5</v>
      </c>
      <c r="AC141" s="29" t="s">
        <v>5</v>
      </c>
      <c r="AD141" s="29" t="s">
        <v>5</v>
      </c>
      <c r="AE141" s="29" t="s">
        <v>5</v>
      </c>
      <c r="AF141" s="29" t="s">
        <v>5</v>
      </c>
      <c r="AG141" s="29" t="s">
        <v>5</v>
      </c>
      <c r="AH141" s="2" t="s">
        <v>5</v>
      </c>
      <c r="AI141" s="2" t="s">
        <v>5</v>
      </c>
      <c r="AJ141" s="2" t="s">
        <v>5</v>
      </c>
      <c r="AK141" s="2" t="s">
        <v>5</v>
      </c>
    </row>
    <row r="142" spans="2:37" ht="12.5">
      <c r="B142" s="2" t="str">
        <f ca="1">IFERROR(__xludf.DUMMYFUNCTION("""COMPUTED_VALUE"""),"城東高")</f>
        <v>城東高</v>
      </c>
      <c r="C142" s="2" t="e">
        <f ca="1"/>
        <v>#N/A</v>
      </c>
      <c r="D142" s="2" t="e">
        <f ca="1"/>
        <v>#REF!</v>
      </c>
      <c r="E142" s="29" t="e">
        <f ca="1"/>
        <v>#REF!</v>
      </c>
      <c r="F142" s="30" t="e">
        <f ca="1"/>
        <v>#REF!</v>
      </c>
      <c r="G142" s="29" t="e">
        <f ca="1"/>
        <v>#REF!</v>
      </c>
      <c r="H142" s="30" t="e">
        <f ca="1"/>
        <v>#REF!</v>
      </c>
      <c r="I142" s="29" t="e">
        <f ca="1"/>
        <v>#REF!</v>
      </c>
      <c r="J142" s="29" t="e">
        <f ca="1"/>
        <v>#REF!</v>
      </c>
      <c r="K142" s="29" t="e">
        <f ca="1"/>
        <v>#REF!</v>
      </c>
      <c r="L142" s="29" t="e">
        <f ca="1"/>
        <v>#REF!</v>
      </c>
      <c r="M142" s="29" t="e">
        <f ca="1"/>
        <v>#REF!</v>
      </c>
      <c r="N142" s="29" t="e">
        <f ca="1"/>
        <v>#REF!</v>
      </c>
      <c r="O142" s="2" t="e">
        <f ca="1"/>
        <v>#N/A</v>
      </c>
      <c r="P142" s="2" t="e">
        <f ca="1"/>
        <v>#N/A</v>
      </c>
      <c r="Q142" s="2" t="s">
        <v>5</v>
      </c>
      <c r="R142" s="2" t="s">
        <v>5</v>
      </c>
      <c r="U142" s="2"/>
      <c r="V142" s="2" t="s">
        <v>5</v>
      </c>
      <c r="W142" s="2" t="s">
        <v>5</v>
      </c>
      <c r="X142" s="29" t="s">
        <v>5</v>
      </c>
      <c r="Y142" s="30" t="s">
        <v>5</v>
      </c>
      <c r="Z142" s="29" t="s">
        <v>5</v>
      </c>
      <c r="AA142" s="30" t="s">
        <v>5</v>
      </c>
      <c r="AB142" s="29" t="s">
        <v>5</v>
      </c>
      <c r="AC142" s="29" t="s">
        <v>5</v>
      </c>
      <c r="AD142" s="29" t="s">
        <v>5</v>
      </c>
      <c r="AE142" s="29" t="s">
        <v>5</v>
      </c>
      <c r="AF142" s="29" t="s">
        <v>5</v>
      </c>
      <c r="AG142" s="29" t="s">
        <v>5</v>
      </c>
      <c r="AH142" s="2" t="s">
        <v>5</v>
      </c>
      <c r="AI142" s="2" t="s">
        <v>5</v>
      </c>
      <c r="AJ142" s="2" t="s">
        <v>5</v>
      </c>
      <c r="AK142" s="2" t="s">
        <v>5</v>
      </c>
    </row>
    <row r="143" spans="2:37" ht="12.5">
      <c r="B143" s="2" t="str">
        <f ca="1">IFERROR(__xludf.DUMMYFUNCTION("""COMPUTED_VALUE"""),"東京学芸大附高")</f>
        <v>東京学芸大附高</v>
      </c>
      <c r="C143" s="2" t="e">
        <f ca="1"/>
        <v>#N/A</v>
      </c>
      <c r="D143" s="2" t="e">
        <f ca="1"/>
        <v>#REF!</v>
      </c>
      <c r="E143" s="29" t="e">
        <f ca="1"/>
        <v>#REF!</v>
      </c>
      <c r="F143" s="30" t="e">
        <f ca="1"/>
        <v>#REF!</v>
      </c>
      <c r="G143" s="29" t="e">
        <f ca="1"/>
        <v>#REF!</v>
      </c>
      <c r="H143" s="30" t="e">
        <f ca="1"/>
        <v>#REF!</v>
      </c>
      <c r="I143" s="29" t="e">
        <f ca="1"/>
        <v>#REF!</v>
      </c>
      <c r="J143" s="29" t="e">
        <f ca="1"/>
        <v>#REF!</v>
      </c>
      <c r="K143" s="29" t="e">
        <f ca="1"/>
        <v>#REF!</v>
      </c>
      <c r="L143" s="29" t="e">
        <f ca="1"/>
        <v>#REF!</v>
      </c>
      <c r="M143" s="29" t="e">
        <f ca="1"/>
        <v>#REF!</v>
      </c>
      <c r="N143" s="29" t="e">
        <f ca="1"/>
        <v>#REF!</v>
      </c>
      <c r="O143" s="2" t="e">
        <f ca="1"/>
        <v>#N/A</v>
      </c>
      <c r="P143" s="2" t="e">
        <f ca="1"/>
        <v>#N/A</v>
      </c>
      <c r="Q143" s="2" t="s">
        <v>5</v>
      </c>
      <c r="R143" s="2" t="s">
        <v>5</v>
      </c>
      <c r="U143" s="2"/>
      <c r="V143" s="2" t="s">
        <v>5</v>
      </c>
      <c r="W143" s="2" t="s">
        <v>5</v>
      </c>
      <c r="X143" s="29" t="s">
        <v>5</v>
      </c>
      <c r="Y143" s="30" t="s">
        <v>5</v>
      </c>
      <c r="Z143" s="29" t="s">
        <v>5</v>
      </c>
      <c r="AA143" s="30" t="s">
        <v>5</v>
      </c>
      <c r="AB143" s="29" t="s">
        <v>5</v>
      </c>
      <c r="AC143" s="29" t="s">
        <v>5</v>
      </c>
      <c r="AD143" s="29" t="s">
        <v>5</v>
      </c>
      <c r="AE143" s="29" t="s">
        <v>5</v>
      </c>
      <c r="AF143" s="29" t="s">
        <v>5</v>
      </c>
      <c r="AG143" s="29" t="s">
        <v>5</v>
      </c>
      <c r="AH143" s="2" t="s">
        <v>5</v>
      </c>
      <c r="AI143" s="2" t="s">
        <v>5</v>
      </c>
      <c r="AJ143" s="2" t="s">
        <v>5</v>
      </c>
      <c r="AK143" s="2" t="s">
        <v>5</v>
      </c>
    </row>
    <row r="144" spans="2:37" ht="12.5">
      <c r="B144" s="2" t="str">
        <f ca="1">IFERROR(__xludf.DUMMYFUNCTION("""COMPUTED_VALUE"""),"慶應義塾湘南藤沢高")</f>
        <v>慶應義塾湘南藤沢高</v>
      </c>
      <c r="C144" s="2" t="e">
        <f ca="1"/>
        <v>#N/A</v>
      </c>
      <c r="D144" s="2" t="e">
        <f ca="1"/>
        <v>#REF!</v>
      </c>
      <c r="E144" s="29" t="e">
        <f ca="1"/>
        <v>#REF!</v>
      </c>
      <c r="F144" s="30" t="e">
        <f ca="1"/>
        <v>#REF!</v>
      </c>
      <c r="G144" s="29" t="e">
        <f ca="1"/>
        <v>#REF!</v>
      </c>
      <c r="H144" s="30" t="e">
        <f ca="1"/>
        <v>#REF!</v>
      </c>
      <c r="I144" s="29" t="e">
        <f ca="1"/>
        <v>#REF!</v>
      </c>
      <c r="J144" s="29" t="e">
        <f ca="1"/>
        <v>#REF!</v>
      </c>
      <c r="K144" s="29" t="e">
        <f ca="1"/>
        <v>#REF!</v>
      </c>
      <c r="L144" s="29" t="e">
        <f ca="1"/>
        <v>#REF!</v>
      </c>
      <c r="M144" s="29" t="e">
        <f ca="1"/>
        <v>#REF!</v>
      </c>
      <c r="N144" s="29" t="e">
        <f ca="1"/>
        <v>#REF!</v>
      </c>
      <c r="O144" s="2" t="e">
        <f ca="1"/>
        <v>#N/A</v>
      </c>
      <c r="P144" s="2" t="e">
        <f ca="1"/>
        <v>#N/A</v>
      </c>
      <c r="Q144" s="2" t="s">
        <v>5</v>
      </c>
      <c r="R144" s="2" t="s">
        <v>5</v>
      </c>
      <c r="U144" s="2"/>
      <c r="V144" s="2" t="s">
        <v>5</v>
      </c>
      <c r="W144" s="2" t="s">
        <v>5</v>
      </c>
      <c r="X144" s="29" t="s">
        <v>5</v>
      </c>
      <c r="Y144" s="30" t="s">
        <v>5</v>
      </c>
      <c r="Z144" s="29" t="s">
        <v>5</v>
      </c>
      <c r="AA144" s="30" t="s">
        <v>5</v>
      </c>
      <c r="AB144" s="29" t="s">
        <v>5</v>
      </c>
      <c r="AC144" s="29" t="s">
        <v>5</v>
      </c>
      <c r="AD144" s="29" t="s">
        <v>5</v>
      </c>
      <c r="AE144" s="29" t="s">
        <v>5</v>
      </c>
      <c r="AF144" s="29" t="s">
        <v>5</v>
      </c>
      <c r="AG144" s="29" t="s">
        <v>5</v>
      </c>
      <c r="AH144" s="2" t="s">
        <v>5</v>
      </c>
      <c r="AI144" s="2" t="s">
        <v>5</v>
      </c>
      <c r="AJ144" s="2" t="s">
        <v>5</v>
      </c>
      <c r="AK144" s="2" t="s">
        <v>5</v>
      </c>
    </row>
    <row r="145" spans="2:37" ht="12.5">
      <c r="B145" s="2" t="str">
        <f ca="1">IFERROR(__xludf.DUMMYFUNCTION("""COMPUTED_VALUE"""),"新城高")</f>
        <v>新城高</v>
      </c>
      <c r="C145" s="2" t="e">
        <f ca="1"/>
        <v>#N/A</v>
      </c>
      <c r="D145" s="2" t="e">
        <f ca="1"/>
        <v>#REF!</v>
      </c>
      <c r="E145" s="29" t="e">
        <f ca="1"/>
        <v>#REF!</v>
      </c>
      <c r="F145" s="30" t="e">
        <f ca="1"/>
        <v>#REF!</v>
      </c>
      <c r="G145" s="29" t="e">
        <f ca="1"/>
        <v>#REF!</v>
      </c>
      <c r="H145" s="30" t="e">
        <f ca="1"/>
        <v>#REF!</v>
      </c>
      <c r="I145" s="29" t="e">
        <f ca="1"/>
        <v>#REF!</v>
      </c>
      <c r="J145" s="29" t="e">
        <f ca="1"/>
        <v>#REF!</v>
      </c>
      <c r="K145" s="29" t="e">
        <f ca="1"/>
        <v>#REF!</v>
      </c>
      <c r="L145" s="29" t="e">
        <f ca="1"/>
        <v>#REF!</v>
      </c>
      <c r="M145" s="29" t="e">
        <f ca="1"/>
        <v>#REF!</v>
      </c>
      <c r="N145" s="29" t="e">
        <f ca="1"/>
        <v>#REF!</v>
      </c>
      <c r="O145" s="2" t="e">
        <f ca="1"/>
        <v>#N/A</v>
      </c>
      <c r="P145" s="2" t="e">
        <f ca="1"/>
        <v>#N/A</v>
      </c>
      <c r="Q145" s="2" t="s">
        <v>5</v>
      </c>
      <c r="R145" s="2" t="s">
        <v>5</v>
      </c>
      <c r="U145" s="2"/>
      <c r="V145" s="2" t="s">
        <v>5</v>
      </c>
      <c r="W145" s="2" t="s">
        <v>5</v>
      </c>
      <c r="X145" s="29" t="s">
        <v>5</v>
      </c>
      <c r="Y145" s="30" t="s">
        <v>5</v>
      </c>
      <c r="Z145" s="29" t="s">
        <v>5</v>
      </c>
      <c r="AA145" s="30" t="s">
        <v>5</v>
      </c>
      <c r="AB145" s="29" t="s">
        <v>5</v>
      </c>
      <c r="AC145" s="29" t="s">
        <v>5</v>
      </c>
      <c r="AD145" s="29" t="s">
        <v>5</v>
      </c>
      <c r="AE145" s="29" t="s">
        <v>5</v>
      </c>
      <c r="AF145" s="29" t="s">
        <v>5</v>
      </c>
      <c r="AG145" s="29" t="s">
        <v>5</v>
      </c>
      <c r="AH145" s="2" t="s">
        <v>5</v>
      </c>
      <c r="AI145" s="2" t="s">
        <v>5</v>
      </c>
      <c r="AJ145" s="2" t="s">
        <v>5</v>
      </c>
      <c r="AK145" s="2" t="s">
        <v>5</v>
      </c>
    </row>
    <row r="146" spans="2:37" ht="12.5">
      <c r="B146" s="2" t="str">
        <f ca="1">IFERROR(__xludf.DUMMYFUNCTION("""COMPUTED_VALUE"""),"相模女子大高等部")</f>
        <v>相模女子大高等部</v>
      </c>
      <c r="C146" s="2" t="e">
        <f ca="1"/>
        <v>#N/A</v>
      </c>
      <c r="D146" s="2" t="e">
        <f ca="1"/>
        <v>#REF!</v>
      </c>
      <c r="E146" s="29" t="e">
        <f ca="1"/>
        <v>#REF!</v>
      </c>
      <c r="F146" s="30" t="e">
        <f ca="1"/>
        <v>#REF!</v>
      </c>
      <c r="G146" s="29" t="e">
        <f ca="1"/>
        <v>#REF!</v>
      </c>
      <c r="H146" s="30" t="e">
        <f ca="1"/>
        <v>#REF!</v>
      </c>
      <c r="I146" s="29" t="e">
        <f ca="1"/>
        <v>#REF!</v>
      </c>
      <c r="J146" s="29" t="e">
        <f ca="1"/>
        <v>#REF!</v>
      </c>
      <c r="K146" s="29" t="e">
        <f ca="1"/>
        <v>#REF!</v>
      </c>
      <c r="L146" s="29" t="e">
        <f ca="1"/>
        <v>#REF!</v>
      </c>
      <c r="M146" s="29" t="e">
        <f ca="1"/>
        <v>#REF!</v>
      </c>
      <c r="N146" s="29" t="e">
        <f ca="1"/>
        <v>#REF!</v>
      </c>
      <c r="O146" s="2" t="e">
        <f ca="1"/>
        <v>#N/A</v>
      </c>
      <c r="P146" s="2" t="e">
        <f ca="1"/>
        <v>#N/A</v>
      </c>
      <c r="Q146" s="2" t="s">
        <v>5</v>
      </c>
      <c r="R146" s="2" t="s">
        <v>5</v>
      </c>
      <c r="U146" s="2"/>
      <c r="V146" s="2" t="s">
        <v>5</v>
      </c>
      <c r="W146" s="2" t="s">
        <v>5</v>
      </c>
      <c r="X146" s="29" t="s">
        <v>5</v>
      </c>
      <c r="Y146" s="30" t="s">
        <v>5</v>
      </c>
      <c r="Z146" s="29" t="s">
        <v>5</v>
      </c>
      <c r="AA146" s="30" t="s">
        <v>5</v>
      </c>
      <c r="AB146" s="29" t="s">
        <v>5</v>
      </c>
      <c r="AC146" s="29" t="s">
        <v>5</v>
      </c>
      <c r="AD146" s="29" t="s">
        <v>5</v>
      </c>
      <c r="AE146" s="29" t="s">
        <v>5</v>
      </c>
      <c r="AF146" s="29" t="s">
        <v>5</v>
      </c>
      <c r="AG146" s="29" t="s">
        <v>5</v>
      </c>
      <c r="AH146" s="2" t="s">
        <v>5</v>
      </c>
      <c r="AI146" s="2" t="s">
        <v>5</v>
      </c>
      <c r="AJ146" s="2" t="s">
        <v>5</v>
      </c>
      <c r="AK146" s="2" t="s">
        <v>5</v>
      </c>
    </row>
    <row r="147" spans="2:37" ht="12.5">
      <c r="B147" s="2" t="str">
        <f ca="1">IFERROR(__xludf.DUMMYFUNCTION("""COMPUTED_VALUE"""),"小松大谷高")</f>
        <v>小松大谷高</v>
      </c>
      <c r="C147" s="2" t="e">
        <f ca="1"/>
        <v>#N/A</v>
      </c>
      <c r="D147" s="2" t="e">
        <f ca="1"/>
        <v>#REF!</v>
      </c>
      <c r="E147" s="29" t="e">
        <f ca="1"/>
        <v>#REF!</v>
      </c>
      <c r="F147" s="30" t="e">
        <f ca="1"/>
        <v>#REF!</v>
      </c>
      <c r="G147" s="29" t="e">
        <f ca="1"/>
        <v>#REF!</v>
      </c>
      <c r="H147" s="30" t="e">
        <f ca="1"/>
        <v>#REF!</v>
      </c>
      <c r="I147" s="29" t="e">
        <f ca="1"/>
        <v>#REF!</v>
      </c>
      <c r="J147" s="29" t="e">
        <f ca="1"/>
        <v>#REF!</v>
      </c>
      <c r="K147" s="29" t="e">
        <f ca="1"/>
        <v>#REF!</v>
      </c>
      <c r="L147" s="29" t="e">
        <f ca="1"/>
        <v>#REF!</v>
      </c>
      <c r="M147" s="29" t="e">
        <f ca="1"/>
        <v>#REF!</v>
      </c>
      <c r="N147" s="29" t="e">
        <f ca="1"/>
        <v>#REF!</v>
      </c>
      <c r="O147" s="2" t="e">
        <f ca="1"/>
        <v>#N/A</v>
      </c>
      <c r="P147" s="2" t="e">
        <f ca="1"/>
        <v>#N/A</v>
      </c>
      <c r="Q147" s="2" t="s">
        <v>5</v>
      </c>
      <c r="R147" s="2" t="s">
        <v>5</v>
      </c>
      <c r="U147" s="2"/>
      <c r="V147" s="2" t="s">
        <v>5</v>
      </c>
      <c r="W147" s="2" t="s">
        <v>5</v>
      </c>
      <c r="X147" s="29" t="s">
        <v>5</v>
      </c>
      <c r="Y147" s="30" t="s">
        <v>5</v>
      </c>
      <c r="Z147" s="29" t="s">
        <v>5</v>
      </c>
      <c r="AA147" s="30" t="s">
        <v>5</v>
      </c>
      <c r="AB147" s="29" t="s">
        <v>5</v>
      </c>
      <c r="AC147" s="29" t="s">
        <v>5</v>
      </c>
      <c r="AD147" s="29" t="s">
        <v>5</v>
      </c>
      <c r="AE147" s="29" t="s">
        <v>5</v>
      </c>
      <c r="AF147" s="29" t="s">
        <v>5</v>
      </c>
      <c r="AG147" s="29" t="s">
        <v>5</v>
      </c>
      <c r="AH147" s="2" t="s">
        <v>5</v>
      </c>
      <c r="AI147" s="2" t="s">
        <v>5</v>
      </c>
      <c r="AJ147" s="2" t="s">
        <v>5</v>
      </c>
      <c r="AK147" s="2" t="s">
        <v>5</v>
      </c>
    </row>
    <row r="148" spans="2:37" ht="12.5">
      <c r="B148" s="2" t="str">
        <f ca="1">IFERROR(__xludf.DUMMYFUNCTION("""COMPUTED_VALUE"""),"文化学園長野高")</f>
        <v>文化学園長野高</v>
      </c>
      <c r="C148" s="2" t="e">
        <f ca="1"/>
        <v>#N/A</v>
      </c>
      <c r="D148" s="2" t="e">
        <f ca="1"/>
        <v>#REF!</v>
      </c>
      <c r="E148" s="29" t="e">
        <f ca="1"/>
        <v>#REF!</v>
      </c>
      <c r="F148" s="30" t="e">
        <f ca="1"/>
        <v>#REF!</v>
      </c>
      <c r="G148" s="29" t="e">
        <f ca="1"/>
        <v>#REF!</v>
      </c>
      <c r="H148" s="30" t="e">
        <f ca="1"/>
        <v>#REF!</v>
      </c>
      <c r="I148" s="29" t="e">
        <f ca="1"/>
        <v>#REF!</v>
      </c>
      <c r="J148" s="29" t="e">
        <f ca="1"/>
        <v>#REF!</v>
      </c>
      <c r="K148" s="29" t="e">
        <f ca="1"/>
        <v>#REF!</v>
      </c>
      <c r="L148" s="29" t="e">
        <f ca="1"/>
        <v>#REF!</v>
      </c>
      <c r="M148" s="29" t="e">
        <f ca="1"/>
        <v>#REF!</v>
      </c>
      <c r="N148" s="29" t="e">
        <f ca="1"/>
        <v>#REF!</v>
      </c>
      <c r="O148" s="2" t="e">
        <f ca="1"/>
        <v>#N/A</v>
      </c>
      <c r="P148" s="2" t="e">
        <f ca="1"/>
        <v>#N/A</v>
      </c>
      <c r="Q148" s="2" t="s">
        <v>5</v>
      </c>
      <c r="R148" s="2" t="s">
        <v>5</v>
      </c>
      <c r="U148" s="2"/>
      <c r="V148" s="2" t="s">
        <v>5</v>
      </c>
      <c r="W148" s="2" t="s">
        <v>5</v>
      </c>
      <c r="X148" s="29" t="s">
        <v>5</v>
      </c>
      <c r="Y148" s="30" t="s">
        <v>5</v>
      </c>
      <c r="Z148" s="29" t="s">
        <v>5</v>
      </c>
      <c r="AA148" s="30" t="s">
        <v>5</v>
      </c>
      <c r="AB148" s="29" t="s">
        <v>5</v>
      </c>
      <c r="AC148" s="29" t="s">
        <v>5</v>
      </c>
      <c r="AD148" s="29" t="s">
        <v>5</v>
      </c>
      <c r="AE148" s="29" t="s">
        <v>5</v>
      </c>
      <c r="AF148" s="29" t="s">
        <v>5</v>
      </c>
      <c r="AG148" s="29" t="s">
        <v>5</v>
      </c>
      <c r="AH148" s="2" t="s">
        <v>5</v>
      </c>
      <c r="AI148" s="2" t="s">
        <v>5</v>
      </c>
      <c r="AJ148" s="2" t="s">
        <v>5</v>
      </c>
      <c r="AK148" s="2" t="s">
        <v>5</v>
      </c>
    </row>
    <row r="149" spans="2:37" ht="12.5">
      <c r="B149" s="2" t="str">
        <f ca="1">IFERROR(__xludf.DUMMYFUNCTION("""COMPUTED_VALUE"""),"滝高")</f>
        <v>滝高</v>
      </c>
      <c r="C149" s="2" t="e">
        <f ca="1"/>
        <v>#N/A</v>
      </c>
      <c r="D149" s="2" t="e">
        <f ca="1"/>
        <v>#REF!</v>
      </c>
      <c r="E149" s="29" t="e">
        <f ca="1"/>
        <v>#REF!</v>
      </c>
      <c r="F149" s="30" t="e">
        <f ca="1"/>
        <v>#REF!</v>
      </c>
      <c r="G149" s="29" t="e">
        <f ca="1"/>
        <v>#REF!</v>
      </c>
      <c r="H149" s="30" t="e">
        <f ca="1"/>
        <v>#REF!</v>
      </c>
      <c r="I149" s="29" t="e">
        <f ca="1"/>
        <v>#REF!</v>
      </c>
      <c r="J149" s="29" t="e">
        <f ca="1"/>
        <v>#REF!</v>
      </c>
      <c r="K149" s="29" t="e">
        <f ca="1"/>
        <v>#REF!</v>
      </c>
      <c r="L149" s="29" t="e">
        <f ca="1"/>
        <v>#REF!</v>
      </c>
      <c r="M149" s="29" t="e">
        <f ca="1"/>
        <v>#REF!</v>
      </c>
      <c r="N149" s="29" t="e">
        <f ca="1"/>
        <v>#REF!</v>
      </c>
      <c r="O149" s="2" t="e">
        <f ca="1"/>
        <v>#N/A</v>
      </c>
      <c r="P149" s="2" t="e">
        <f ca="1"/>
        <v>#N/A</v>
      </c>
      <c r="Q149" s="2" t="s">
        <v>5</v>
      </c>
      <c r="R149" s="2" t="s">
        <v>5</v>
      </c>
      <c r="U149" s="2"/>
      <c r="V149" s="2" t="s">
        <v>5</v>
      </c>
      <c r="W149" s="2" t="s">
        <v>5</v>
      </c>
      <c r="X149" s="29" t="s">
        <v>5</v>
      </c>
      <c r="Y149" s="30" t="s">
        <v>5</v>
      </c>
      <c r="Z149" s="29" t="s">
        <v>5</v>
      </c>
      <c r="AA149" s="30" t="s">
        <v>5</v>
      </c>
      <c r="AB149" s="29" t="s">
        <v>5</v>
      </c>
      <c r="AC149" s="29" t="s">
        <v>5</v>
      </c>
      <c r="AD149" s="29" t="s">
        <v>5</v>
      </c>
      <c r="AE149" s="29" t="s">
        <v>5</v>
      </c>
      <c r="AF149" s="29" t="s">
        <v>5</v>
      </c>
      <c r="AG149" s="29" t="s">
        <v>5</v>
      </c>
      <c r="AH149" s="2" t="s">
        <v>5</v>
      </c>
      <c r="AI149" s="2" t="s">
        <v>5</v>
      </c>
      <c r="AJ149" s="2" t="s">
        <v>5</v>
      </c>
      <c r="AK149" s="2" t="s">
        <v>5</v>
      </c>
    </row>
    <row r="150" spans="2:37" ht="12.5">
      <c r="B150" s="2" t="str">
        <f ca="1">IFERROR(__xludf.DUMMYFUNCTION("""COMPUTED_VALUE"""),"龍谷大付平安高")</f>
        <v>龍谷大付平安高</v>
      </c>
      <c r="C150" s="2" t="e">
        <f ca="1"/>
        <v>#N/A</v>
      </c>
      <c r="D150" s="2" t="e">
        <f ca="1"/>
        <v>#REF!</v>
      </c>
      <c r="E150" s="29" t="e">
        <f ca="1"/>
        <v>#REF!</v>
      </c>
      <c r="F150" s="30" t="e">
        <f ca="1"/>
        <v>#REF!</v>
      </c>
      <c r="G150" s="29" t="e">
        <f ca="1"/>
        <v>#REF!</v>
      </c>
      <c r="H150" s="30" t="e">
        <f ca="1"/>
        <v>#REF!</v>
      </c>
      <c r="I150" s="29" t="e">
        <f ca="1"/>
        <v>#REF!</v>
      </c>
      <c r="J150" s="29" t="e">
        <f ca="1"/>
        <v>#REF!</v>
      </c>
      <c r="K150" s="29" t="e">
        <f ca="1"/>
        <v>#REF!</v>
      </c>
      <c r="L150" s="29" t="e">
        <f ca="1"/>
        <v>#REF!</v>
      </c>
      <c r="M150" s="29" t="e">
        <f ca="1"/>
        <v>#REF!</v>
      </c>
      <c r="N150" s="29" t="e">
        <f ca="1"/>
        <v>#REF!</v>
      </c>
      <c r="O150" s="2" t="e">
        <f ca="1"/>
        <v>#N/A</v>
      </c>
      <c r="P150" s="2" t="e">
        <f ca="1"/>
        <v>#N/A</v>
      </c>
      <c r="Q150" s="2" t="s">
        <v>5</v>
      </c>
      <c r="R150" s="2" t="s">
        <v>5</v>
      </c>
      <c r="U150" s="2"/>
      <c r="V150" s="2" t="s">
        <v>5</v>
      </c>
      <c r="W150" s="2" t="s">
        <v>5</v>
      </c>
      <c r="X150" s="29" t="s">
        <v>5</v>
      </c>
      <c r="Y150" s="30" t="s">
        <v>5</v>
      </c>
      <c r="Z150" s="29" t="s">
        <v>5</v>
      </c>
      <c r="AA150" s="30" t="s">
        <v>5</v>
      </c>
      <c r="AB150" s="29" t="s">
        <v>5</v>
      </c>
      <c r="AC150" s="29" t="s">
        <v>5</v>
      </c>
      <c r="AD150" s="29" t="s">
        <v>5</v>
      </c>
      <c r="AE150" s="29" t="s">
        <v>5</v>
      </c>
      <c r="AF150" s="29" t="s">
        <v>5</v>
      </c>
      <c r="AG150" s="29" t="s">
        <v>5</v>
      </c>
      <c r="AH150" s="2" t="s">
        <v>5</v>
      </c>
      <c r="AI150" s="2" t="s">
        <v>5</v>
      </c>
      <c r="AJ150" s="2" t="s">
        <v>5</v>
      </c>
      <c r="AK150" s="2" t="s">
        <v>5</v>
      </c>
    </row>
    <row r="151" spans="2:37" ht="12.5">
      <c r="B151" s="2" t="str">
        <f ca="1">IFERROR(__xludf.DUMMYFUNCTION("""COMPUTED_VALUE"""),"大教大附高天王寺")</f>
        <v>大教大附高天王寺</v>
      </c>
      <c r="C151" s="2" t="e">
        <f ca="1"/>
        <v>#N/A</v>
      </c>
      <c r="D151" s="2" t="e">
        <f ca="1"/>
        <v>#REF!</v>
      </c>
      <c r="E151" s="29" t="e">
        <f ca="1"/>
        <v>#REF!</v>
      </c>
      <c r="F151" s="30" t="e">
        <f ca="1"/>
        <v>#REF!</v>
      </c>
      <c r="G151" s="29" t="e">
        <f ca="1"/>
        <v>#REF!</v>
      </c>
      <c r="H151" s="30" t="e">
        <f ca="1"/>
        <v>#REF!</v>
      </c>
      <c r="I151" s="29" t="e">
        <f ca="1"/>
        <v>#REF!</v>
      </c>
      <c r="J151" s="29" t="e">
        <f ca="1"/>
        <v>#REF!</v>
      </c>
      <c r="K151" s="29" t="e">
        <f ca="1"/>
        <v>#REF!</v>
      </c>
      <c r="L151" s="29" t="e">
        <f ca="1"/>
        <v>#REF!</v>
      </c>
      <c r="M151" s="29" t="e">
        <f ca="1"/>
        <v>#REF!</v>
      </c>
      <c r="N151" s="29" t="e">
        <f ca="1"/>
        <v>#REF!</v>
      </c>
      <c r="O151" s="2" t="e">
        <f ca="1"/>
        <v>#N/A</v>
      </c>
      <c r="P151" s="2" t="e">
        <f ca="1"/>
        <v>#N/A</v>
      </c>
      <c r="Q151" s="2" t="s">
        <v>5</v>
      </c>
      <c r="R151" s="2" t="s">
        <v>5</v>
      </c>
      <c r="U151" s="2"/>
      <c r="V151" s="2" t="s">
        <v>5</v>
      </c>
      <c r="W151" s="2" t="s">
        <v>5</v>
      </c>
      <c r="X151" s="29" t="s">
        <v>5</v>
      </c>
      <c r="Y151" s="30" t="s">
        <v>5</v>
      </c>
      <c r="Z151" s="29" t="s">
        <v>5</v>
      </c>
      <c r="AA151" s="30" t="s">
        <v>5</v>
      </c>
      <c r="AB151" s="29" t="s">
        <v>5</v>
      </c>
      <c r="AC151" s="29" t="s">
        <v>5</v>
      </c>
      <c r="AD151" s="29" t="s">
        <v>5</v>
      </c>
      <c r="AE151" s="29" t="s">
        <v>5</v>
      </c>
      <c r="AF151" s="29" t="s">
        <v>5</v>
      </c>
      <c r="AG151" s="29" t="s">
        <v>5</v>
      </c>
      <c r="AH151" s="2" t="s">
        <v>5</v>
      </c>
      <c r="AI151" s="2" t="s">
        <v>5</v>
      </c>
      <c r="AJ151" s="2" t="s">
        <v>5</v>
      </c>
      <c r="AK151" s="2" t="s">
        <v>5</v>
      </c>
    </row>
    <row r="152" spans="2:37" ht="12.5">
      <c r="B152" s="2" t="str">
        <f ca="1">IFERROR(__xludf.DUMMYFUNCTION("""COMPUTED_VALUE"""),"清水谷高")</f>
        <v>清水谷高</v>
      </c>
      <c r="C152" s="2" t="e">
        <f ca="1"/>
        <v>#N/A</v>
      </c>
      <c r="D152" s="2" t="e">
        <f ca="1"/>
        <v>#REF!</v>
      </c>
      <c r="E152" s="29" t="e">
        <f ca="1"/>
        <v>#REF!</v>
      </c>
      <c r="F152" s="30" t="e">
        <f ca="1"/>
        <v>#REF!</v>
      </c>
      <c r="G152" s="29" t="e">
        <f ca="1"/>
        <v>#REF!</v>
      </c>
      <c r="H152" s="30" t="e">
        <f ca="1"/>
        <v>#REF!</v>
      </c>
      <c r="I152" s="29" t="e">
        <f ca="1"/>
        <v>#REF!</v>
      </c>
      <c r="J152" s="29" t="e">
        <f ca="1"/>
        <v>#REF!</v>
      </c>
      <c r="K152" s="29" t="e">
        <f ca="1"/>
        <v>#REF!</v>
      </c>
      <c r="L152" s="29" t="e">
        <f ca="1"/>
        <v>#REF!</v>
      </c>
      <c r="M152" s="29" t="e">
        <f ca="1"/>
        <v>#REF!</v>
      </c>
      <c r="N152" s="29" t="e">
        <f ca="1"/>
        <v>#REF!</v>
      </c>
      <c r="O152" s="2" t="e">
        <f ca="1"/>
        <v>#N/A</v>
      </c>
      <c r="P152" s="2" t="e">
        <f ca="1"/>
        <v>#N/A</v>
      </c>
      <c r="Q152" s="2" t="s">
        <v>5</v>
      </c>
      <c r="R152" s="2" t="s">
        <v>5</v>
      </c>
      <c r="U152" s="2"/>
      <c r="V152" s="2" t="s">
        <v>5</v>
      </c>
      <c r="W152" s="2" t="s">
        <v>5</v>
      </c>
      <c r="X152" s="29" t="s">
        <v>5</v>
      </c>
      <c r="Y152" s="30" t="s">
        <v>5</v>
      </c>
      <c r="Z152" s="29" t="s">
        <v>5</v>
      </c>
      <c r="AA152" s="30" t="s">
        <v>5</v>
      </c>
      <c r="AB152" s="29" t="s">
        <v>5</v>
      </c>
      <c r="AC152" s="29" t="s">
        <v>5</v>
      </c>
      <c r="AD152" s="29" t="s">
        <v>5</v>
      </c>
      <c r="AE152" s="29" t="s">
        <v>5</v>
      </c>
      <c r="AF152" s="29" t="s">
        <v>5</v>
      </c>
      <c r="AG152" s="29" t="s">
        <v>5</v>
      </c>
      <c r="AH152" s="2" t="s">
        <v>5</v>
      </c>
      <c r="AI152" s="2" t="s">
        <v>5</v>
      </c>
      <c r="AJ152" s="2" t="s">
        <v>5</v>
      </c>
      <c r="AK152" s="2" t="s">
        <v>5</v>
      </c>
    </row>
    <row r="153" spans="2:37" ht="12.5">
      <c r="B153" s="2" t="str">
        <f ca="1">IFERROR(__xludf.DUMMYFUNCTION("""COMPUTED_VALUE"""),"明石高")</f>
        <v>明石高</v>
      </c>
      <c r="C153" s="2" t="e">
        <f ca="1"/>
        <v>#N/A</v>
      </c>
      <c r="D153" s="2" t="e">
        <f ca="1"/>
        <v>#REF!</v>
      </c>
      <c r="E153" s="29" t="e">
        <f ca="1"/>
        <v>#REF!</v>
      </c>
      <c r="F153" s="30" t="e">
        <f ca="1"/>
        <v>#REF!</v>
      </c>
      <c r="G153" s="29" t="e">
        <f ca="1"/>
        <v>#REF!</v>
      </c>
      <c r="H153" s="30" t="e">
        <f ca="1"/>
        <v>#REF!</v>
      </c>
      <c r="I153" s="29" t="e">
        <f ca="1"/>
        <v>#REF!</v>
      </c>
      <c r="J153" s="29" t="e">
        <f ca="1"/>
        <v>#REF!</v>
      </c>
      <c r="K153" s="29" t="e">
        <f ca="1"/>
        <v>#REF!</v>
      </c>
      <c r="L153" s="29" t="e">
        <f ca="1"/>
        <v>#REF!</v>
      </c>
      <c r="M153" s="29" t="e">
        <f ca="1"/>
        <v>#REF!</v>
      </c>
      <c r="N153" s="29" t="e">
        <f ca="1"/>
        <v>#REF!</v>
      </c>
      <c r="O153" s="2" t="e">
        <f ca="1"/>
        <v>#N/A</v>
      </c>
      <c r="P153" s="2" t="e">
        <f ca="1"/>
        <v>#N/A</v>
      </c>
      <c r="Q153" s="2" t="s">
        <v>5</v>
      </c>
      <c r="R153" s="2" t="s">
        <v>5</v>
      </c>
      <c r="U153" s="2"/>
      <c r="V153" s="2" t="s">
        <v>5</v>
      </c>
      <c r="W153" s="2" t="s">
        <v>5</v>
      </c>
      <c r="X153" s="29" t="s">
        <v>5</v>
      </c>
      <c r="Y153" s="30" t="s">
        <v>5</v>
      </c>
      <c r="Z153" s="29" t="s">
        <v>5</v>
      </c>
      <c r="AA153" s="30" t="s">
        <v>5</v>
      </c>
      <c r="AB153" s="29" t="s">
        <v>5</v>
      </c>
      <c r="AC153" s="29" t="s">
        <v>5</v>
      </c>
      <c r="AD153" s="29" t="s">
        <v>5</v>
      </c>
      <c r="AE153" s="29" t="s">
        <v>5</v>
      </c>
      <c r="AF153" s="29" t="s">
        <v>5</v>
      </c>
      <c r="AG153" s="29" t="s">
        <v>5</v>
      </c>
      <c r="AH153" s="2" t="s">
        <v>5</v>
      </c>
      <c r="AI153" s="2" t="s">
        <v>5</v>
      </c>
      <c r="AJ153" s="2" t="s">
        <v>5</v>
      </c>
      <c r="AK153" s="2" t="s">
        <v>5</v>
      </c>
    </row>
    <row r="154" spans="2:37" ht="12.5">
      <c r="B154" s="2" t="str">
        <f ca="1">IFERROR(__xludf.DUMMYFUNCTION("""COMPUTED_VALUE"""),"玉野光南高")</f>
        <v>玉野光南高</v>
      </c>
      <c r="C154" s="2" t="e">
        <f ca="1"/>
        <v>#N/A</v>
      </c>
      <c r="D154" s="2" t="e">
        <f ca="1"/>
        <v>#REF!</v>
      </c>
      <c r="E154" s="29" t="e">
        <f ca="1"/>
        <v>#REF!</v>
      </c>
      <c r="F154" s="30" t="e">
        <f ca="1"/>
        <v>#REF!</v>
      </c>
      <c r="G154" s="29" t="e">
        <f ca="1"/>
        <v>#REF!</v>
      </c>
      <c r="H154" s="30" t="e">
        <f ca="1"/>
        <v>#REF!</v>
      </c>
      <c r="I154" s="29" t="e">
        <f ca="1"/>
        <v>#REF!</v>
      </c>
      <c r="J154" s="29" t="e">
        <f ca="1"/>
        <v>#REF!</v>
      </c>
      <c r="K154" s="29" t="e">
        <f ca="1"/>
        <v>#REF!</v>
      </c>
      <c r="L154" s="29" t="e">
        <f ca="1"/>
        <v>#REF!</v>
      </c>
      <c r="M154" s="29" t="e">
        <f ca="1"/>
        <v>#REF!</v>
      </c>
      <c r="N154" s="29" t="e">
        <f ca="1"/>
        <v>#REF!</v>
      </c>
      <c r="O154" s="2" t="e">
        <f ca="1"/>
        <v>#N/A</v>
      </c>
      <c r="P154" s="2" t="e">
        <f ca="1"/>
        <v>#N/A</v>
      </c>
      <c r="Q154" s="2" t="s">
        <v>5</v>
      </c>
      <c r="R154" s="2" t="s">
        <v>5</v>
      </c>
      <c r="U154" s="2"/>
      <c r="V154" s="2" t="s">
        <v>5</v>
      </c>
      <c r="W154" s="2" t="s">
        <v>5</v>
      </c>
      <c r="X154" s="29" t="s">
        <v>5</v>
      </c>
      <c r="Y154" s="30" t="s">
        <v>5</v>
      </c>
      <c r="Z154" s="29" t="s">
        <v>5</v>
      </c>
      <c r="AA154" s="30" t="s">
        <v>5</v>
      </c>
      <c r="AB154" s="29" t="s">
        <v>5</v>
      </c>
      <c r="AC154" s="29" t="s">
        <v>5</v>
      </c>
      <c r="AD154" s="29" t="s">
        <v>5</v>
      </c>
      <c r="AE154" s="29" t="s">
        <v>5</v>
      </c>
      <c r="AF154" s="29" t="s">
        <v>5</v>
      </c>
      <c r="AG154" s="29" t="s">
        <v>5</v>
      </c>
      <c r="AH154" s="2" t="s">
        <v>5</v>
      </c>
      <c r="AI154" s="2" t="s">
        <v>5</v>
      </c>
      <c r="AJ154" s="2" t="s">
        <v>5</v>
      </c>
      <c r="AK154" s="2" t="s">
        <v>5</v>
      </c>
    </row>
    <row r="155" spans="2:37" ht="12.5">
      <c r="B155" s="2" t="str">
        <f ca="1">IFERROR(__xludf.DUMMYFUNCTION("""COMPUTED_VALUE"""),"城南高")</f>
        <v>城南高</v>
      </c>
      <c r="C155" s="2" t="e">
        <f ca="1"/>
        <v>#N/A</v>
      </c>
      <c r="D155" s="2" t="e">
        <f ca="1"/>
        <v>#REF!</v>
      </c>
      <c r="E155" s="29" t="e">
        <f ca="1"/>
        <v>#REF!</v>
      </c>
      <c r="F155" s="30" t="e">
        <f ca="1"/>
        <v>#REF!</v>
      </c>
      <c r="G155" s="29" t="e">
        <f ca="1"/>
        <v>#REF!</v>
      </c>
      <c r="H155" s="30" t="e">
        <f ca="1"/>
        <v>#REF!</v>
      </c>
      <c r="I155" s="29" t="e">
        <f ca="1"/>
        <v>#REF!</v>
      </c>
      <c r="J155" s="29" t="e">
        <f ca="1"/>
        <v>#REF!</v>
      </c>
      <c r="K155" s="29" t="e">
        <f ca="1"/>
        <v>#REF!</v>
      </c>
      <c r="L155" s="29" t="e">
        <f ca="1"/>
        <v>#REF!</v>
      </c>
      <c r="M155" s="29" t="e">
        <f ca="1"/>
        <v>#REF!</v>
      </c>
      <c r="N155" s="29" t="e">
        <f ca="1"/>
        <v>#REF!</v>
      </c>
      <c r="O155" s="2" t="e">
        <f ca="1"/>
        <v>#N/A</v>
      </c>
      <c r="P155" s="2" t="e">
        <f ca="1"/>
        <v>#N/A</v>
      </c>
      <c r="Q155" s="2" t="s">
        <v>5</v>
      </c>
      <c r="R155" s="2" t="s">
        <v>5</v>
      </c>
      <c r="U155" s="2"/>
      <c r="V155" s="2" t="s">
        <v>5</v>
      </c>
      <c r="W155" s="2" t="s">
        <v>5</v>
      </c>
      <c r="X155" s="29" t="s">
        <v>5</v>
      </c>
      <c r="Y155" s="30" t="s">
        <v>5</v>
      </c>
      <c r="Z155" s="29" t="s">
        <v>5</v>
      </c>
      <c r="AA155" s="30" t="s">
        <v>5</v>
      </c>
      <c r="AB155" s="29" t="s">
        <v>5</v>
      </c>
      <c r="AC155" s="29" t="s">
        <v>5</v>
      </c>
      <c r="AD155" s="29" t="s">
        <v>5</v>
      </c>
      <c r="AE155" s="29" t="s">
        <v>5</v>
      </c>
      <c r="AF155" s="29" t="s">
        <v>5</v>
      </c>
      <c r="AG155" s="29" t="s">
        <v>5</v>
      </c>
      <c r="AH155" s="2" t="s">
        <v>5</v>
      </c>
      <c r="AI155" s="2" t="s">
        <v>5</v>
      </c>
      <c r="AJ155" s="2" t="s">
        <v>5</v>
      </c>
      <c r="AK155" s="2" t="s">
        <v>5</v>
      </c>
    </row>
    <row r="156" spans="2:37" ht="12.5">
      <c r="B156" s="2" t="str">
        <f ca="1">IFERROR(__xludf.DUMMYFUNCTION("""COMPUTED_VALUE"""),"宇和島東高")</f>
        <v>宇和島東高</v>
      </c>
      <c r="C156" s="2" t="e">
        <f ca="1"/>
        <v>#N/A</v>
      </c>
      <c r="D156" s="2" t="e">
        <f ca="1"/>
        <v>#REF!</v>
      </c>
      <c r="E156" s="29" t="e">
        <f ca="1"/>
        <v>#REF!</v>
      </c>
      <c r="F156" s="30" t="e">
        <f ca="1"/>
        <v>#REF!</v>
      </c>
      <c r="G156" s="29" t="e">
        <f ca="1"/>
        <v>#REF!</v>
      </c>
      <c r="H156" s="30" t="e">
        <f ca="1"/>
        <v>#REF!</v>
      </c>
      <c r="I156" s="29" t="e">
        <f ca="1"/>
        <v>#REF!</v>
      </c>
      <c r="J156" s="29" t="e">
        <f ca="1"/>
        <v>#REF!</v>
      </c>
      <c r="K156" s="29" t="e">
        <f ca="1"/>
        <v>#REF!</v>
      </c>
      <c r="L156" s="29" t="e">
        <f ca="1"/>
        <v>#REF!</v>
      </c>
      <c r="M156" s="29" t="e">
        <f ca="1"/>
        <v>#REF!</v>
      </c>
      <c r="N156" s="29" t="e">
        <f ca="1"/>
        <v>#REF!</v>
      </c>
      <c r="O156" s="2" t="e">
        <f ca="1"/>
        <v>#N/A</v>
      </c>
      <c r="P156" s="2" t="e">
        <f ca="1"/>
        <v>#N/A</v>
      </c>
      <c r="Q156" s="2" t="s">
        <v>5</v>
      </c>
      <c r="R156" s="2" t="s">
        <v>5</v>
      </c>
      <c r="U156" s="2"/>
      <c r="V156" s="2" t="s">
        <v>5</v>
      </c>
      <c r="W156" s="2" t="s">
        <v>5</v>
      </c>
      <c r="X156" s="29" t="s">
        <v>5</v>
      </c>
      <c r="Y156" s="30" t="s">
        <v>5</v>
      </c>
      <c r="Z156" s="29" t="s">
        <v>5</v>
      </c>
      <c r="AA156" s="30" t="s">
        <v>5</v>
      </c>
      <c r="AB156" s="29" t="s">
        <v>5</v>
      </c>
      <c r="AC156" s="29" t="s">
        <v>5</v>
      </c>
      <c r="AD156" s="29" t="s">
        <v>5</v>
      </c>
      <c r="AE156" s="29" t="s">
        <v>5</v>
      </c>
      <c r="AF156" s="29" t="s">
        <v>5</v>
      </c>
      <c r="AG156" s="29" t="s">
        <v>5</v>
      </c>
      <c r="AH156" s="2" t="s">
        <v>5</v>
      </c>
      <c r="AI156" s="2" t="s">
        <v>5</v>
      </c>
      <c r="AJ156" s="2" t="s">
        <v>5</v>
      </c>
      <c r="AK156" s="2" t="s">
        <v>5</v>
      </c>
    </row>
    <row r="157" spans="2:37" ht="12.5">
      <c r="B157" s="2" t="str">
        <f ca="1">IFERROR(__xludf.DUMMYFUNCTION("""COMPUTED_VALUE"""),"宮崎大宮高")</f>
        <v>宮崎大宮高</v>
      </c>
      <c r="C157" s="2" t="e">
        <f ca="1"/>
        <v>#N/A</v>
      </c>
      <c r="D157" s="2" t="e">
        <f ca="1"/>
        <v>#REF!</v>
      </c>
      <c r="E157" s="29" t="e">
        <f ca="1"/>
        <v>#REF!</v>
      </c>
      <c r="F157" s="30" t="e">
        <f ca="1"/>
        <v>#REF!</v>
      </c>
      <c r="G157" s="29" t="e">
        <f ca="1"/>
        <v>#REF!</v>
      </c>
      <c r="H157" s="30" t="e">
        <f ca="1"/>
        <v>#REF!</v>
      </c>
      <c r="I157" s="29" t="e">
        <f ca="1"/>
        <v>#REF!</v>
      </c>
      <c r="J157" s="29" t="e">
        <f ca="1"/>
        <v>#REF!</v>
      </c>
      <c r="K157" s="29" t="e">
        <f ca="1"/>
        <v>#REF!</v>
      </c>
      <c r="L157" s="29" t="e">
        <f ca="1"/>
        <v>#REF!</v>
      </c>
      <c r="M157" s="29" t="e">
        <f ca="1"/>
        <v>#REF!</v>
      </c>
      <c r="N157" s="29" t="e">
        <f ca="1"/>
        <v>#REF!</v>
      </c>
      <c r="O157" s="2" t="e">
        <f ca="1"/>
        <v>#N/A</v>
      </c>
      <c r="P157" s="2" t="e">
        <f ca="1"/>
        <v>#N/A</v>
      </c>
      <c r="Q157" s="2" t="s">
        <v>5</v>
      </c>
      <c r="R157" s="2" t="s">
        <v>5</v>
      </c>
      <c r="U157" s="2"/>
      <c r="V157" s="2" t="s">
        <v>5</v>
      </c>
      <c r="W157" s="2" t="s">
        <v>5</v>
      </c>
      <c r="X157" s="29" t="s">
        <v>5</v>
      </c>
      <c r="Y157" s="30" t="s">
        <v>5</v>
      </c>
      <c r="Z157" s="29" t="s">
        <v>5</v>
      </c>
      <c r="AA157" s="30" t="s">
        <v>5</v>
      </c>
      <c r="AB157" s="29" t="s">
        <v>5</v>
      </c>
      <c r="AC157" s="29" t="s">
        <v>5</v>
      </c>
      <c r="AD157" s="29" t="s">
        <v>5</v>
      </c>
      <c r="AE157" s="29" t="s">
        <v>5</v>
      </c>
      <c r="AF157" s="29" t="s">
        <v>5</v>
      </c>
      <c r="AG157" s="29" t="s">
        <v>5</v>
      </c>
      <c r="AH157" s="2" t="s">
        <v>5</v>
      </c>
      <c r="AI157" s="2" t="s">
        <v>5</v>
      </c>
      <c r="AJ157" s="2" t="s">
        <v>5</v>
      </c>
      <c r="AK157" s="2" t="s">
        <v>5</v>
      </c>
    </row>
    <row r="158" spans="2:37" ht="12.5">
      <c r="B158" s="2" t="str">
        <f ca="1">IFERROR(__xludf.DUMMYFUNCTION("""COMPUTED_VALUE"""),"鹿角高")</f>
        <v>鹿角高</v>
      </c>
      <c r="C158" s="2" t="e">
        <f ca="1"/>
        <v>#N/A</v>
      </c>
      <c r="D158" s="2" t="e">
        <f ca="1"/>
        <v>#REF!</v>
      </c>
      <c r="E158" s="29" t="e">
        <f ca="1"/>
        <v>#REF!</v>
      </c>
      <c r="F158" s="30" t="e">
        <f ca="1"/>
        <v>#REF!</v>
      </c>
      <c r="G158" s="29" t="e">
        <f ca="1"/>
        <v>#REF!</v>
      </c>
      <c r="H158" s="30" t="e">
        <f ca="1"/>
        <v>#REF!</v>
      </c>
      <c r="I158" s="29" t="e">
        <f ca="1"/>
        <v>#REF!</v>
      </c>
      <c r="J158" s="29" t="e">
        <f ca="1"/>
        <v>#REF!</v>
      </c>
      <c r="K158" s="29" t="e">
        <f ca="1"/>
        <v>#REF!</v>
      </c>
      <c r="L158" s="29" t="e">
        <f ca="1"/>
        <v>#REF!</v>
      </c>
      <c r="M158" s="29" t="e">
        <f ca="1"/>
        <v>#REF!</v>
      </c>
      <c r="N158" s="29" t="e">
        <f ca="1"/>
        <v>#REF!</v>
      </c>
      <c r="O158" s="2" t="e">
        <f ca="1"/>
        <v>#N/A</v>
      </c>
      <c r="P158" s="2" t="e">
        <f ca="1"/>
        <v>#N/A</v>
      </c>
      <c r="Q158" s="2" t="s">
        <v>5</v>
      </c>
      <c r="R158" s="2" t="s">
        <v>5</v>
      </c>
      <c r="U158" s="2"/>
      <c r="V158" s="2" t="s">
        <v>5</v>
      </c>
      <c r="W158" s="2" t="s">
        <v>5</v>
      </c>
      <c r="X158" s="29" t="s">
        <v>5</v>
      </c>
      <c r="Y158" s="30" t="s">
        <v>5</v>
      </c>
      <c r="Z158" s="29" t="s">
        <v>5</v>
      </c>
      <c r="AA158" s="30" t="s">
        <v>5</v>
      </c>
      <c r="AB158" s="29" t="s">
        <v>5</v>
      </c>
      <c r="AC158" s="29" t="s">
        <v>5</v>
      </c>
      <c r="AD158" s="29" t="s">
        <v>5</v>
      </c>
      <c r="AE158" s="29" t="s">
        <v>5</v>
      </c>
      <c r="AF158" s="29" t="s">
        <v>5</v>
      </c>
      <c r="AG158" s="29" t="s">
        <v>5</v>
      </c>
      <c r="AH158" s="2" t="s">
        <v>5</v>
      </c>
      <c r="AI158" s="2" t="s">
        <v>5</v>
      </c>
      <c r="AJ158" s="2" t="s">
        <v>5</v>
      </c>
      <c r="AK158" s="2" t="s">
        <v>5</v>
      </c>
    </row>
    <row r="159" spans="2:37" ht="12.5">
      <c r="B159" s="2" t="str">
        <f ca="1">IFERROR(__xludf.DUMMYFUNCTION("""COMPUTED_VALUE"""),"日野台高")</f>
        <v>日野台高</v>
      </c>
      <c r="C159" s="2" t="e">
        <f ca="1"/>
        <v>#N/A</v>
      </c>
      <c r="D159" s="2" t="e">
        <f ca="1"/>
        <v>#REF!</v>
      </c>
      <c r="E159" s="29" t="e">
        <f ca="1"/>
        <v>#REF!</v>
      </c>
      <c r="F159" s="30" t="e">
        <f ca="1"/>
        <v>#REF!</v>
      </c>
      <c r="G159" s="29" t="e">
        <f ca="1"/>
        <v>#REF!</v>
      </c>
      <c r="H159" s="30" t="e">
        <f ca="1"/>
        <v>#REF!</v>
      </c>
      <c r="I159" s="29" t="e">
        <f ca="1"/>
        <v>#REF!</v>
      </c>
      <c r="J159" s="29" t="e">
        <f ca="1"/>
        <v>#REF!</v>
      </c>
      <c r="K159" s="29" t="e">
        <f ca="1"/>
        <v>#REF!</v>
      </c>
      <c r="L159" s="29" t="e">
        <f ca="1"/>
        <v>#REF!</v>
      </c>
      <c r="M159" s="29" t="e">
        <f ca="1"/>
        <v>#REF!</v>
      </c>
      <c r="N159" s="29" t="e">
        <f ca="1"/>
        <v>#REF!</v>
      </c>
      <c r="O159" s="2" t="e">
        <f ca="1"/>
        <v>#N/A</v>
      </c>
      <c r="P159" s="2" t="e">
        <f ca="1"/>
        <v>#N/A</v>
      </c>
      <c r="Q159" s="2" t="s">
        <v>5</v>
      </c>
      <c r="R159" s="2" t="s">
        <v>5</v>
      </c>
      <c r="U159" s="2"/>
      <c r="V159" s="2" t="s">
        <v>5</v>
      </c>
      <c r="W159" s="2" t="s">
        <v>5</v>
      </c>
      <c r="X159" s="29" t="s">
        <v>5</v>
      </c>
      <c r="Y159" s="30" t="s">
        <v>5</v>
      </c>
      <c r="Z159" s="29" t="s">
        <v>5</v>
      </c>
      <c r="AA159" s="30" t="s">
        <v>5</v>
      </c>
      <c r="AB159" s="29" t="s">
        <v>5</v>
      </c>
      <c r="AC159" s="29" t="s">
        <v>5</v>
      </c>
      <c r="AD159" s="29" t="s">
        <v>5</v>
      </c>
      <c r="AE159" s="29" t="s">
        <v>5</v>
      </c>
      <c r="AF159" s="29" t="s">
        <v>5</v>
      </c>
      <c r="AG159" s="29" t="s">
        <v>5</v>
      </c>
      <c r="AH159" s="2" t="s">
        <v>5</v>
      </c>
      <c r="AI159" s="2" t="s">
        <v>5</v>
      </c>
      <c r="AJ159" s="2" t="s">
        <v>5</v>
      </c>
      <c r="AK159" s="2" t="s">
        <v>5</v>
      </c>
    </row>
    <row r="160" spans="2:37" ht="12.5">
      <c r="B160" s="2" t="str">
        <f ca="1">IFERROR(__xludf.DUMMYFUNCTION("""COMPUTED_VALUE"""),"横浜ｻｲｴﾝｽﾌﾛﾝﾃｨｱ高")</f>
        <v>横浜ｻｲｴﾝｽﾌﾛﾝﾃｨｱ高</v>
      </c>
      <c r="C160" s="2" t="e">
        <f ca="1"/>
        <v>#N/A</v>
      </c>
      <c r="D160" s="2" t="e">
        <f ca="1"/>
        <v>#REF!</v>
      </c>
      <c r="E160" s="29" t="e">
        <f ca="1"/>
        <v>#REF!</v>
      </c>
      <c r="F160" s="30" t="e">
        <f ca="1"/>
        <v>#REF!</v>
      </c>
      <c r="G160" s="29" t="e">
        <f ca="1"/>
        <v>#REF!</v>
      </c>
      <c r="H160" s="30" t="e">
        <f ca="1"/>
        <v>#REF!</v>
      </c>
      <c r="I160" s="29" t="e">
        <f ca="1"/>
        <v>#REF!</v>
      </c>
      <c r="J160" s="29" t="e">
        <f ca="1"/>
        <v>#REF!</v>
      </c>
      <c r="K160" s="29" t="e">
        <f ca="1"/>
        <v>#REF!</v>
      </c>
      <c r="L160" s="29" t="e">
        <f ca="1"/>
        <v>#REF!</v>
      </c>
      <c r="M160" s="29" t="e">
        <f ca="1"/>
        <v>#REF!</v>
      </c>
      <c r="N160" s="29" t="e">
        <f ca="1"/>
        <v>#REF!</v>
      </c>
      <c r="O160" s="2" t="e">
        <f ca="1"/>
        <v>#N/A</v>
      </c>
      <c r="P160" s="2" t="e">
        <f ca="1"/>
        <v>#N/A</v>
      </c>
      <c r="Q160" s="2" t="s">
        <v>5</v>
      </c>
      <c r="R160" s="2" t="s">
        <v>5</v>
      </c>
      <c r="U160" s="2"/>
      <c r="V160" s="2" t="s">
        <v>5</v>
      </c>
      <c r="W160" s="2" t="s">
        <v>5</v>
      </c>
      <c r="X160" s="29" t="s">
        <v>5</v>
      </c>
      <c r="Y160" s="30" t="s">
        <v>5</v>
      </c>
      <c r="Z160" s="29" t="s">
        <v>5</v>
      </c>
      <c r="AA160" s="30" t="s">
        <v>5</v>
      </c>
      <c r="AB160" s="29" t="s">
        <v>5</v>
      </c>
      <c r="AC160" s="29" t="s">
        <v>5</v>
      </c>
      <c r="AD160" s="29" t="s">
        <v>5</v>
      </c>
      <c r="AE160" s="29" t="s">
        <v>5</v>
      </c>
      <c r="AF160" s="29" t="s">
        <v>5</v>
      </c>
      <c r="AG160" s="29" t="s">
        <v>5</v>
      </c>
      <c r="AH160" s="2" t="s">
        <v>5</v>
      </c>
      <c r="AI160" s="2" t="s">
        <v>5</v>
      </c>
      <c r="AJ160" s="2" t="s">
        <v>5</v>
      </c>
      <c r="AK160" s="2" t="s">
        <v>5</v>
      </c>
    </row>
    <row r="161" spans="2:37" ht="12.5">
      <c r="B161" s="2" t="str">
        <f ca="1">IFERROR(__xludf.DUMMYFUNCTION("""COMPUTED_VALUE"""),"星稜高")</f>
        <v>星稜高</v>
      </c>
      <c r="C161" s="2" t="e">
        <f ca="1"/>
        <v>#N/A</v>
      </c>
      <c r="D161" s="2" t="e">
        <f ca="1"/>
        <v>#REF!</v>
      </c>
      <c r="E161" s="29" t="e">
        <f ca="1"/>
        <v>#REF!</v>
      </c>
      <c r="F161" s="30" t="e">
        <f ca="1"/>
        <v>#REF!</v>
      </c>
      <c r="G161" s="29" t="e">
        <f ca="1"/>
        <v>#REF!</v>
      </c>
      <c r="H161" s="30" t="e">
        <f ca="1"/>
        <v>#REF!</v>
      </c>
      <c r="I161" s="29" t="e">
        <f ca="1"/>
        <v>#REF!</v>
      </c>
      <c r="J161" s="29" t="e">
        <f ca="1"/>
        <v>#REF!</v>
      </c>
      <c r="K161" s="29" t="e">
        <f ca="1"/>
        <v>#REF!</v>
      </c>
      <c r="L161" s="29" t="e">
        <f ca="1"/>
        <v>#REF!</v>
      </c>
      <c r="M161" s="29" t="e">
        <f ca="1"/>
        <v>#REF!</v>
      </c>
      <c r="N161" s="29" t="e">
        <f ca="1"/>
        <v>#REF!</v>
      </c>
      <c r="O161" s="2" t="e">
        <f ca="1"/>
        <v>#N/A</v>
      </c>
      <c r="P161" s="2" t="e">
        <f ca="1"/>
        <v>#N/A</v>
      </c>
      <c r="Q161" s="2" t="s">
        <v>5</v>
      </c>
      <c r="R161" s="2" t="s">
        <v>5</v>
      </c>
      <c r="U161" s="2"/>
      <c r="V161" s="2" t="s">
        <v>5</v>
      </c>
      <c r="W161" s="2" t="s">
        <v>5</v>
      </c>
      <c r="X161" s="29" t="s">
        <v>5</v>
      </c>
      <c r="Y161" s="30" t="s">
        <v>5</v>
      </c>
      <c r="Z161" s="29" t="s">
        <v>5</v>
      </c>
      <c r="AA161" s="30" t="s">
        <v>5</v>
      </c>
      <c r="AB161" s="29" t="s">
        <v>5</v>
      </c>
      <c r="AC161" s="29" t="s">
        <v>5</v>
      </c>
      <c r="AD161" s="29" t="s">
        <v>5</v>
      </c>
      <c r="AE161" s="29" t="s">
        <v>5</v>
      </c>
      <c r="AF161" s="29" t="s">
        <v>5</v>
      </c>
      <c r="AG161" s="29" t="s">
        <v>5</v>
      </c>
      <c r="AH161" s="2" t="s">
        <v>5</v>
      </c>
      <c r="AI161" s="2" t="s">
        <v>5</v>
      </c>
      <c r="AJ161" s="2" t="s">
        <v>5</v>
      </c>
      <c r="AK161" s="2" t="s">
        <v>5</v>
      </c>
    </row>
    <row r="162" spans="2:37" ht="12.5">
      <c r="B162" s="2" t="str">
        <f ca="1">IFERROR(__xludf.DUMMYFUNCTION("""COMPUTED_VALUE"""),"松本深志高")</f>
        <v>松本深志高</v>
      </c>
      <c r="C162" s="2" t="e">
        <f ca="1"/>
        <v>#N/A</v>
      </c>
      <c r="D162" s="2" t="e">
        <f ca="1"/>
        <v>#REF!</v>
      </c>
      <c r="E162" s="29" t="e">
        <f ca="1"/>
        <v>#REF!</v>
      </c>
      <c r="F162" s="30" t="e">
        <f ca="1"/>
        <v>#REF!</v>
      </c>
      <c r="G162" s="29" t="e">
        <f ca="1"/>
        <v>#REF!</v>
      </c>
      <c r="H162" s="30" t="e">
        <f ca="1"/>
        <v>#REF!</v>
      </c>
      <c r="I162" s="29" t="e">
        <f ca="1"/>
        <v>#REF!</v>
      </c>
      <c r="J162" s="29" t="e">
        <f ca="1"/>
        <v>#REF!</v>
      </c>
      <c r="K162" s="29" t="e">
        <f ca="1"/>
        <v>#REF!</v>
      </c>
      <c r="L162" s="29" t="e">
        <f ca="1"/>
        <v>#REF!</v>
      </c>
      <c r="M162" s="29" t="e">
        <f ca="1"/>
        <v>#REF!</v>
      </c>
      <c r="N162" s="29" t="e">
        <f ca="1"/>
        <v>#REF!</v>
      </c>
      <c r="O162" s="2" t="e">
        <f ca="1"/>
        <v>#N/A</v>
      </c>
      <c r="P162" s="2" t="e">
        <f ca="1"/>
        <v>#N/A</v>
      </c>
      <c r="Q162" s="2" t="s">
        <v>5</v>
      </c>
      <c r="R162" s="2" t="s">
        <v>5</v>
      </c>
      <c r="U162" s="2"/>
      <c r="V162" s="2" t="s">
        <v>5</v>
      </c>
      <c r="W162" s="2" t="s">
        <v>5</v>
      </c>
      <c r="X162" s="29" t="s">
        <v>5</v>
      </c>
      <c r="Y162" s="30" t="s">
        <v>5</v>
      </c>
      <c r="Z162" s="29" t="s">
        <v>5</v>
      </c>
      <c r="AA162" s="30" t="s">
        <v>5</v>
      </c>
      <c r="AB162" s="29" t="s">
        <v>5</v>
      </c>
      <c r="AC162" s="29" t="s">
        <v>5</v>
      </c>
      <c r="AD162" s="29" t="s">
        <v>5</v>
      </c>
      <c r="AE162" s="29" t="s">
        <v>5</v>
      </c>
      <c r="AF162" s="29" t="s">
        <v>5</v>
      </c>
      <c r="AG162" s="29" t="s">
        <v>5</v>
      </c>
      <c r="AH162" s="2" t="s">
        <v>5</v>
      </c>
      <c r="AI162" s="2" t="s">
        <v>5</v>
      </c>
      <c r="AJ162" s="2" t="s">
        <v>5</v>
      </c>
      <c r="AK162" s="2" t="s">
        <v>5</v>
      </c>
    </row>
    <row r="163" spans="2:37" ht="12.5">
      <c r="B163" s="2" t="str">
        <f ca="1">IFERROR(__xludf.DUMMYFUNCTION("""COMPUTED_VALUE"""),"岐阜高")</f>
        <v>岐阜高</v>
      </c>
      <c r="C163" s="2" t="e">
        <f ca="1"/>
        <v>#N/A</v>
      </c>
      <c r="D163" s="2" t="e">
        <f ca="1"/>
        <v>#REF!</v>
      </c>
      <c r="E163" s="29" t="e">
        <f ca="1"/>
        <v>#REF!</v>
      </c>
      <c r="F163" s="30" t="e">
        <f ca="1"/>
        <v>#REF!</v>
      </c>
      <c r="G163" s="29" t="e">
        <f ca="1"/>
        <v>#REF!</v>
      </c>
      <c r="H163" s="30" t="e">
        <f ca="1"/>
        <v>#REF!</v>
      </c>
      <c r="I163" s="29" t="e">
        <f ca="1"/>
        <v>#REF!</v>
      </c>
      <c r="J163" s="29" t="e">
        <f ca="1"/>
        <v>#REF!</v>
      </c>
      <c r="K163" s="29" t="e">
        <f ca="1"/>
        <v>#REF!</v>
      </c>
      <c r="L163" s="29" t="e">
        <f ca="1"/>
        <v>#REF!</v>
      </c>
      <c r="M163" s="29" t="e">
        <f ca="1"/>
        <v>#REF!</v>
      </c>
      <c r="N163" s="29" t="e">
        <f ca="1"/>
        <v>#REF!</v>
      </c>
      <c r="O163" s="2" t="e">
        <f ca="1"/>
        <v>#N/A</v>
      </c>
      <c r="P163" s="2" t="e">
        <f ca="1"/>
        <v>#N/A</v>
      </c>
      <c r="Q163" s="2" t="s">
        <v>5</v>
      </c>
      <c r="R163" s="2" t="s">
        <v>5</v>
      </c>
      <c r="U163" s="2"/>
      <c r="V163" s="2" t="s">
        <v>5</v>
      </c>
      <c r="W163" s="2" t="s">
        <v>5</v>
      </c>
      <c r="X163" s="29" t="s">
        <v>5</v>
      </c>
      <c r="Y163" s="30" t="s">
        <v>5</v>
      </c>
      <c r="Z163" s="29" t="s">
        <v>5</v>
      </c>
      <c r="AA163" s="30" t="s">
        <v>5</v>
      </c>
      <c r="AB163" s="29" t="s">
        <v>5</v>
      </c>
      <c r="AC163" s="29" t="s">
        <v>5</v>
      </c>
      <c r="AD163" s="29" t="s">
        <v>5</v>
      </c>
      <c r="AE163" s="29" t="s">
        <v>5</v>
      </c>
      <c r="AF163" s="29" t="s">
        <v>5</v>
      </c>
      <c r="AG163" s="29" t="s">
        <v>5</v>
      </c>
      <c r="AH163" s="2" t="s">
        <v>5</v>
      </c>
      <c r="AI163" s="2" t="s">
        <v>5</v>
      </c>
      <c r="AJ163" s="2" t="s">
        <v>5</v>
      </c>
      <c r="AK163" s="2" t="s">
        <v>5</v>
      </c>
    </row>
    <row r="164" spans="2:37" ht="12.5">
      <c r="B164" s="2" t="str">
        <f ca="1">IFERROR(__xludf.DUMMYFUNCTION("""COMPUTED_VALUE"""),"南山高女子部")</f>
        <v>南山高女子部</v>
      </c>
      <c r="C164" s="2" t="e">
        <f ca="1"/>
        <v>#N/A</v>
      </c>
      <c r="D164" s="2" t="e">
        <f ca="1"/>
        <v>#REF!</v>
      </c>
      <c r="E164" s="29" t="e">
        <f ca="1"/>
        <v>#REF!</v>
      </c>
      <c r="F164" s="30" t="e">
        <f ca="1"/>
        <v>#REF!</v>
      </c>
      <c r="G164" s="29" t="e">
        <f ca="1"/>
        <v>#REF!</v>
      </c>
      <c r="H164" s="30" t="e">
        <f ca="1"/>
        <v>#REF!</v>
      </c>
      <c r="I164" s="29" t="e">
        <f ca="1"/>
        <v>#REF!</v>
      </c>
      <c r="J164" s="29" t="e">
        <f ca="1"/>
        <v>#REF!</v>
      </c>
      <c r="K164" s="29" t="e">
        <f ca="1"/>
        <v>#REF!</v>
      </c>
      <c r="L164" s="29" t="e">
        <f ca="1"/>
        <v>#REF!</v>
      </c>
      <c r="M164" s="29" t="e">
        <f ca="1"/>
        <v>#REF!</v>
      </c>
      <c r="N164" s="29" t="e">
        <f ca="1"/>
        <v>#REF!</v>
      </c>
      <c r="O164" s="2" t="e">
        <f ca="1"/>
        <v>#N/A</v>
      </c>
      <c r="P164" s="2" t="e">
        <f ca="1"/>
        <v>#N/A</v>
      </c>
      <c r="Q164" s="2" t="s">
        <v>5</v>
      </c>
      <c r="R164" s="2" t="s">
        <v>5</v>
      </c>
      <c r="U164" s="2"/>
      <c r="V164" s="2" t="s">
        <v>5</v>
      </c>
      <c r="W164" s="2" t="s">
        <v>5</v>
      </c>
      <c r="X164" s="29" t="s">
        <v>5</v>
      </c>
      <c r="Y164" s="30" t="s">
        <v>5</v>
      </c>
      <c r="Z164" s="29" t="s">
        <v>5</v>
      </c>
      <c r="AA164" s="30" t="s">
        <v>5</v>
      </c>
      <c r="AB164" s="29" t="s">
        <v>5</v>
      </c>
      <c r="AC164" s="29" t="s">
        <v>5</v>
      </c>
      <c r="AD164" s="29" t="s">
        <v>5</v>
      </c>
      <c r="AE164" s="29" t="s">
        <v>5</v>
      </c>
      <c r="AF164" s="29" t="s">
        <v>5</v>
      </c>
      <c r="AG164" s="29" t="s">
        <v>5</v>
      </c>
      <c r="AH164" s="2" t="s">
        <v>5</v>
      </c>
      <c r="AI164" s="2" t="s">
        <v>5</v>
      </c>
      <c r="AJ164" s="2" t="s">
        <v>5</v>
      </c>
      <c r="AK164" s="2" t="s">
        <v>5</v>
      </c>
    </row>
    <row r="165" spans="2:37" ht="12.5">
      <c r="B165" s="2" t="str">
        <f ca="1">IFERROR(__xludf.DUMMYFUNCTION("""COMPUTED_VALUE"""),"茨木高")</f>
        <v>茨木高</v>
      </c>
      <c r="C165" s="2" t="e">
        <f ca="1"/>
        <v>#N/A</v>
      </c>
      <c r="D165" s="2" t="e">
        <f ca="1"/>
        <v>#REF!</v>
      </c>
      <c r="E165" s="29" t="e">
        <f ca="1"/>
        <v>#REF!</v>
      </c>
      <c r="F165" s="30" t="e">
        <f ca="1"/>
        <v>#REF!</v>
      </c>
      <c r="G165" s="29" t="e">
        <f ca="1"/>
        <v>#REF!</v>
      </c>
      <c r="H165" s="30" t="e">
        <f ca="1"/>
        <v>#REF!</v>
      </c>
      <c r="I165" s="29" t="e">
        <f ca="1"/>
        <v>#REF!</v>
      </c>
      <c r="J165" s="29" t="e">
        <f ca="1"/>
        <v>#REF!</v>
      </c>
      <c r="K165" s="29" t="e">
        <f ca="1"/>
        <v>#REF!</v>
      </c>
      <c r="L165" s="29" t="e">
        <f ca="1"/>
        <v>#REF!</v>
      </c>
      <c r="M165" s="29" t="e">
        <f ca="1"/>
        <v>#REF!</v>
      </c>
      <c r="N165" s="29" t="e">
        <f ca="1"/>
        <v>#REF!</v>
      </c>
      <c r="O165" s="2" t="e">
        <f ca="1"/>
        <v>#N/A</v>
      </c>
      <c r="P165" s="2" t="e">
        <f ca="1"/>
        <v>#N/A</v>
      </c>
      <c r="Q165" s="2" t="s">
        <v>5</v>
      </c>
      <c r="R165" s="2" t="s">
        <v>5</v>
      </c>
      <c r="U165" s="2"/>
      <c r="V165" s="2" t="s">
        <v>5</v>
      </c>
      <c r="W165" s="2" t="s">
        <v>5</v>
      </c>
      <c r="X165" s="29" t="s">
        <v>5</v>
      </c>
      <c r="Y165" s="30" t="s">
        <v>5</v>
      </c>
      <c r="Z165" s="29" t="s">
        <v>5</v>
      </c>
      <c r="AA165" s="30" t="s">
        <v>5</v>
      </c>
      <c r="AB165" s="29" t="s">
        <v>5</v>
      </c>
      <c r="AC165" s="29" t="s">
        <v>5</v>
      </c>
      <c r="AD165" s="29" t="s">
        <v>5</v>
      </c>
      <c r="AE165" s="29" t="s">
        <v>5</v>
      </c>
      <c r="AF165" s="29" t="s">
        <v>5</v>
      </c>
      <c r="AG165" s="29" t="s">
        <v>5</v>
      </c>
      <c r="AH165" s="2" t="s">
        <v>5</v>
      </c>
      <c r="AI165" s="2" t="s">
        <v>5</v>
      </c>
      <c r="AJ165" s="2" t="s">
        <v>5</v>
      </c>
      <c r="AK165" s="2" t="s">
        <v>5</v>
      </c>
    </row>
    <row r="166" spans="2:37" ht="12.5">
      <c r="B166" s="2" t="str">
        <f ca="1">IFERROR(__xludf.DUMMYFUNCTION("""COMPUTED_VALUE"""),"桐蔭高")</f>
        <v>桐蔭高</v>
      </c>
      <c r="C166" s="2" t="e">
        <f ca="1"/>
        <v>#N/A</v>
      </c>
      <c r="D166" s="2" t="e">
        <f ca="1"/>
        <v>#REF!</v>
      </c>
      <c r="E166" s="29" t="e">
        <f ca="1"/>
        <v>#REF!</v>
      </c>
      <c r="F166" s="30" t="e">
        <f ca="1"/>
        <v>#REF!</v>
      </c>
      <c r="G166" s="29" t="e">
        <f ca="1"/>
        <v>#REF!</v>
      </c>
      <c r="H166" s="30" t="e">
        <f ca="1"/>
        <v>#REF!</v>
      </c>
      <c r="I166" s="29" t="e">
        <f ca="1"/>
        <v>#REF!</v>
      </c>
      <c r="J166" s="29" t="e">
        <f ca="1"/>
        <v>#REF!</v>
      </c>
      <c r="K166" s="29" t="e">
        <f ca="1"/>
        <v>#REF!</v>
      </c>
      <c r="L166" s="29" t="e">
        <f ca="1"/>
        <v>#REF!</v>
      </c>
      <c r="M166" s="29" t="e">
        <f ca="1"/>
        <v>#REF!</v>
      </c>
      <c r="N166" s="29" t="e">
        <f ca="1"/>
        <v>#REF!</v>
      </c>
      <c r="O166" s="2" t="e">
        <f ca="1"/>
        <v>#N/A</v>
      </c>
      <c r="P166" s="2" t="e">
        <f ca="1"/>
        <v>#N/A</v>
      </c>
      <c r="Q166" s="2" t="s">
        <v>5</v>
      </c>
      <c r="R166" s="2" t="s">
        <v>5</v>
      </c>
      <c r="U166" s="2"/>
      <c r="V166" s="2" t="s">
        <v>5</v>
      </c>
      <c r="W166" s="2" t="s">
        <v>5</v>
      </c>
      <c r="X166" s="29" t="s">
        <v>5</v>
      </c>
      <c r="Y166" s="30" t="s">
        <v>5</v>
      </c>
      <c r="Z166" s="29" t="s">
        <v>5</v>
      </c>
      <c r="AA166" s="30" t="s">
        <v>5</v>
      </c>
      <c r="AB166" s="29" t="s">
        <v>5</v>
      </c>
      <c r="AC166" s="29" t="s">
        <v>5</v>
      </c>
      <c r="AD166" s="29" t="s">
        <v>5</v>
      </c>
      <c r="AE166" s="29" t="s">
        <v>5</v>
      </c>
      <c r="AF166" s="29" t="s">
        <v>5</v>
      </c>
      <c r="AG166" s="29" t="s">
        <v>5</v>
      </c>
      <c r="AH166" s="2" t="s">
        <v>5</v>
      </c>
      <c r="AI166" s="2" t="s">
        <v>5</v>
      </c>
      <c r="AJ166" s="2" t="s">
        <v>5</v>
      </c>
      <c r="AK166" s="2" t="s">
        <v>5</v>
      </c>
    </row>
    <row r="167" spans="2:37" ht="12.5">
      <c r="B167" s="2" t="str">
        <f ca="1">IFERROR(__xludf.DUMMYFUNCTION("""COMPUTED_VALUE"""),"尾道高")</f>
        <v>尾道高</v>
      </c>
      <c r="C167" s="2" t="e">
        <f ca="1"/>
        <v>#N/A</v>
      </c>
      <c r="D167" s="2" t="e">
        <f ca="1"/>
        <v>#REF!</v>
      </c>
      <c r="E167" s="29" t="e">
        <f ca="1"/>
        <v>#REF!</v>
      </c>
      <c r="F167" s="30" t="e">
        <f ca="1"/>
        <v>#REF!</v>
      </c>
      <c r="G167" s="29" t="e">
        <f ca="1"/>
        <v>#REF!</v>
      </c>
      <c r="H167" s="30" t="e">
        <f ca="1"/>
        <v>#REF!</v>
      </c>
      <c r="I167" s="29" t="e">
        <f ca="1"/>
        <v>#REF!</v>
      </c>
      <c r="J167" s="29" t="e">
        <f ca="1"/>
        <v>#REF!</v>
      </c>
      <c r="K167" s="29" t="e">
        <f ca="1"/>
        <v>#REF!</v>
      </c>
      <c r="L167" s="29" t="e">
        <f ca="1"/>
        <v>#REF!</v>
      </c>
      <c r="M167" s="29" t="e">
        <f ca="1"/>
        <v>#REF!</v>
      </c>
      <c r="N167" s="29" t="e">
        <f ca="1"/>
        <v>#REF!</v>
      </c>
      <c r="O167" s="2" t="e">
        <f ca="1"/>
        <v>#N/A</v>
      </c>
      <c r="P167" s="2" t="e">
        <f ca="1"/>
        <v>#N/A</v>
      </c>
      <c r="Q167" s="2" t="s">
        <v>5</v>
      </c>
      <c r="R167" s="2" t="s">
        <v>5</v>
      </c>
      <c r="U167" s="2"/>
      <c r="V167" s="2" t="s">
        <v>5</v>
      </c>
      <c r="W167" s="2" t="s">
        <v>5</v>
      </c>
      <c r="X167" s="29" t="s">
        <v>5</v>
      </c>
      <c r="Y167" s="30" t="s">
        <v>5</v>
      </c>
      <c r="Z167" s="29" t="s">
        <v>5</v>
      </c>
      <c r="AA167" s="30" t="s">
        <v>5</v>
      </c>
      <c r="AB167" s="29" t="s">
        <v>5</v>
      </c>
      <c r="AC167" s="29" t="s">
        <v>5</v>
      </c>
      <c r="AD167" s="29" t="s">
        <v>5</v>
      </c>
      <c r="AE167" s="29" t="s">
        <v>5</v>
      </c>
      <c r="AF167" s="29" t="s">
        <v>5</v>
      </c>
      <c r="AG167" s="29" t="s">
        <v>5</v>
      </c>
      <c r="AH167" s="2" t="s">
        <v>5</v>
      </c>
      <c r="AI167" s="2" t="s">
        <v>5</v>
      </c>
      <c r="AJ167" s="2" t="s">
        <v>5</v>
      </c>
      <c r="AK167" s="2" t="s">
        <v>5</v>
      </c>
    </row>
    <row r="168" spans="2:37" ht="12.5">
      <c r="B168" s="2" t="str">
        <f ca="1">IFERROR(__xludf.DUMMYFUNCTION("""COMPUTED_VALUE"""),"修猷館高")</f>
        <v>修猷館高</v>
      </c>
      <c r="C168" s="2" t="e">
        <f ca="1"/>
        <v>#N/A</v>
      </c>
      <c r="D168" s="2" t="e">
        <f ca="1"/>
        <v>#REF!</v>
      </c>
      <c r="E168" s="29" t="e">
        <f ca="1"/>
        <v>#REF!</v>
      </c>
      <c r="F168" s="30" t="e">
        <f ca="1"/>
        <v>#REF!</v>
      </c>
      <c r="G168" s="29" t="e">
        <f ca="1"/>
        <v>#REF!</v>
      </c>
      <c r="H168" s="30" t="e">
        <f ca="1"/>
        <v>#REF!</v>
      </c>
      <c r="I168" s="29" t="e">
        <f ca="1"/>
        <v>#REF!</v>
      </c>
      <c r="J168" s="29" t="e">
        <f ca="1"/>
        <v>#REF!</v>
      </c>
      <c r="K168" s="29" t="e">
        <f ca="1"/>
        <v>#REF!</v>
      </c>
      <c r="L168" s="29" t="e">
        <f ca="1"/>
        <v>#REF!</v>
      </c>
      <c r="M168" s="29" t="e">
        <f ca="1"/>
        <v>#REF!</v>
      </c>
      <c r="N168" s="29" t="e">
        <f ca="1"/>
        <v>#REF!</v>
      </c>
      <c r="O168" s="2" t="e">
        <f ca="1"/>
        <v>#N/A</v>
      </c>
      <c r="P168" s="2" t="e">
        <f ca="1"/>
        <v>#N/A</v>
      </c>
      <c r="Q168" s="2" t="s">
        <v>5</v>
      </c>
      <c r="R168" s="2" t="s">
        <v>5</v>
      </c>
      <c r="U168" s="2"/>
      <c r="V168" s="2" t="s">
        <v>5</v>
      </c>
      <c r="W168" s="2" t="s">
        <v>5</v>
      </c>
      <c r="X168" s="29" t="s">
        <v>5</v>
      </c>
      <c r="Y168" s="30" t="s">
        <v>5</v>
      </c>
      <c r="Z168" s="29" t="s">
        <v>5</v>
      </c>
      <c r="AA168" s="30" t="s">
        <v>5</v>
      </c>
      <c r="AB168" s="29" t="s">
        <v>5</v>
      </c>
      <c r="AC168" s="29" t="s">
        <v>5</v>
      </c>
      <c r="AD168" s="29" t="s">
        <v>5</v>
      </c>
      <c r="AE168" s="29" t="s">
        <v>5</v>
      </c>
      <c r="AF168" s="29" t="s">
        <v>5</v>
      </c>
      <c r="AG168" s="29" t="s">
        <v>5</v>
      </c>
      <c r="AH168" s="2" t="s">
        <v>5</v>
      </c>
      <c r="AI168" s="2" t="s">
        <v>5</v>
      </c>
      <c r="AJ168" s="2" t="s">
        <v>5</v>
      </c>
      <c r="AK168" s="2" t="s">
        <v>5</v>
      </c>
    </row>
    <row r="169" spans="2:37" ht="12.5">
      <c r="B169" s="2" t="str">
        <f ca="1">IFERROR(__xludf.DUMMYFUNCTION("""COMPUTED_VALUE"""),"鹿本高")</f>
        <v>鹿本高</v>
      </c>
      <c r="C169" s="2" t="e">
        <f ca="1"/>
        <v>#N/A</v>
      </c>
      <c r="D169" s="2" t="e">
        <f ca="1"/>
        <v>#REF!</v>
      </c>
      <c r="E169" s="29" t="e">
        <f ca="1"/>
        <v>#REF!</v>
      </c>
      <c r="F169" s="30" t="e">
        <f ca="1"/>
        <v>#REF!</v>
      </c>
      <c r="G169" s="29" t="e">
        <f ca="1"/>
        <v>#REF!</v>
      </c>
      <c r="H169" s="30" t="e">
        <f ca="1"/>
        <v>#REF!</v>
      </c>
      <c r="I169" s="29" t="e">
        <f ca="1"/>
        <v>#REF!</v>
      </c>
      <c r="J169" s="29" t="e">
        <f ca="1"/>
        <v>#REF!</v>
      </c>
      <c r="K169" s="29" t="e">
        <f ca="1"/>
        <v>#REF!</v>
      </c>
      <c r="L169" s="29" t="e">
        <f ca="1"/>
        <v>#REF!</v>
      </c>
      <c r="M169" s="29" t="e">
        <f ca="1"/>
        <v>#REF!</v>
      </c>
      <c r="N169" s="29" t="e">
        <f ca="1"/>
        <v>#REF!</v>
      </c>
      <c r="O169" s="2" t="e">
        <f ca="1"/>
        <v>#N/A</v>
      </c>
      <c r="P169" s="2" t="e">
        <f ca="1"/>
        <v>#N/A</v>
      </c>
      <c r="Q169" s="2" t="s">
        <v>5</v>
      </c>
      <c r="R169" s="2" t="s">
        <v>5</v>
      </c>
      <c r="U169" s="2"/>
      <c r="V169" s="2" t="s">
        <v>5</v>
      </c>
      <c r="W169" s="2" t="s">
        <v>5</v>
      </c>
      <c r="X169" s="29" t="s">
        <v>5</v>
      </c>
      <c r="Y169" s="30" t="s">
        <v>5</v>
      </c>
      <c r="Z169" s="29" t="s">
        <v>5</v>
      </c>
      <c r="AA169" s="30" t="s">
        <v>5</v>
      </c>
      <c r="AB169" s="29" t="s">
        <v>5</v>
      </c>
      <c r="AC169" s="29" t="s">
        <v>5</v>
      </c>
      <c r="AD169" s="29" t="s">
        <v>5</v>
      </c>
      <c r="AE169" s="29" t="s">
        <v>5</v>
      </c>
      <c r="AF169" s="29" t="s">
        <v>5</v>
      </c>
      <c r="AG169" s="29" t="s">
        <v>5</v>
      </c>
      <c r="AH169" s="2" t="s">
        <v>5</v>
      </c>
      <c r="AI169" s="2" t="s">
        <v>5</v>
      </c>
      <c r="AJ169" s="2" t="s">
        <v>5</v>
      </c>
      <c r="AK169" s="2" t="s">
        <v>5</v>
      </c>
    </row>
    <row r="170" spans="2:37" ht="12.5">
      <c r="B170" s="2" t="str">
        <f ca="1">IFERROR(__xludf.DUMMYFUNCTION("""COMPUTED_VALUE"""),"富山第一高")</f>
        <v>富山第一高</v>
      </c>
      <c r="C170" s="2" t="e">
        <f ca="1"/>
        <v>#N/A</v>
      </c>
      <c r="D170" s="2" t="e">
        <f ca="1"/>
        <v>#REF!</v>
      </c>
      <c r="E170" s="29" t="e">
        <f ca="1"/>
        <v>#REF!</v>
      </c>
      <c r="F170" s="30" t="e">
        <f ca="1"/>
        <v>#REF!</v>
      </c>
      <c r="G170" s="29" t="e">
        <f ca="1"/>
        <v>#REF!</v>
      </c>
      <c r="H170" s="30" t="e">
        <f ca="1"/>
        <v>#REF!</v>
      </c>
      <c r="I170" s="29" t="e">
        <f ca="1"/>
        <v>#REF!</v>
      </c>
      <c r="J170" s="29" t="e">
        <f ca="1"/>
        <v>#REF!</v>
      </c>
      <c r="K170" s="29" t="e">
        <f ca="1"/>
        <v>#REF!</v>
      </c>
      <c r="L170" s="29" t="e">
        <f ca="1"/>
        <v>#REF!</v>
      </c>
      <c r="M170" s="29" t="e">
        <f ca="1"/>
        <v>#REF!</v>
      </c>
      <c r="N170" s="29" t="e">
        <f ca="1"/>
        <v>#REF!</v>
      </c>
      <c r="O170" s="2" t="e">
        <f ca="1"/>
        <v>#N/A</v>
      </c>
      <c r="P170" s="2" t="e">
        <f ca="1"/>
        <v>#N/A</v>
      </c>
      <c r="Q170" s="2" t="s">
        <v>5</v>
      </c>
      <c r="R170" s="2" t="s">
        <v>5</v>
      </c>
      <c r="U170" s="2"/>
      <c r="V170" s="2" t="s">
        <v>5</v>
      </c>
      <c r="W170" s="2" t="s">
        <v>5</v>
      </c>
      <c r="X170" s="29" t="s">
        <v>5</v>
      </c>
      <c r="Y170" s="30" t="s">
        <v>5</v>
      </c>
      <c r="Z170" s="29" t="s">
        <v>5</v>
      </c>
      <c r="AA170" s="30" t="s">
        <v>5</v>
      </c>
      <c r="AB170" s="29" t="s">
        <v>5</v>
      </c>
      <c r="AC170" s="29" t="s">
        <v>5</v>
      </c>
      <c r="AD170" s="29" t="s">
        <v>5</v>
      </c>
      <c r="AE170" s="29" t="s">
        <v>5</v>
      </c>
      <c r="AF170" s="29" t="s">
        <v>5</v>
      </c>
      <c r="AG170" s="29" t="s">
        <v>5</v>
      </c>
      <c r="AH170" s="2" t="s">
        <v>5</v>
      </c>
      <c r="AI170" s="2" t="s">
        <v>5</v>
      </c>
      <c r="AJ170" s="2" t="s">
        <v>5</v>
      </c>
      <c r="AK170" s="2" t="s">
        <v>5</v>
      </c>
    </row>
    <row r="171" spans="2:37" ht="12.5">
      <c r="B171" s="2" t="str">
        <f ca="1">IFERROR(__xludf.DUMMYFUNCTION("""COMPUTED_VALUE"""),"晴海総合高")</f>
        <v>晴海総合高</v>
      </c>
      <c r="C171" s="2" t="e">
        <f ca="1"/>
        <v>#N/A</v>
      </c>
      <c r="D171" s="2" t="e">
        <f ca="1"/>
        <v>#REF!</v>
      </c>
      <c r="E171" s="29" t="e">
        <f ca="1"/>
        <v>#REF!</v>
      </c>
      <c r="F171" s="30" t="e">
        <f ca="1"/>
        <v>#REF!</v>
      </c>
      <c r="G171" s="29" t="e">
        <f ca="1"/>
        <v>#REF!</v>
      </c>
      <c r="H171" s="30" t="e">
        <f ca="1"/>
        <v>#REF!</v>
      </c>
      <c r="I171" s="29" t="e">
        <f ca="1"/>
        <v>#REF!</v>
      </c>
      <c r="J171" s="29" t="e">
        <f ca="1"/>
        <v>#REF!</v>
      </c>
      <c r="K171" s="29" t="e">
        <f ca="1"/>
        <v>#REF!</v>
      </c>
      <c r="L171" s="29" t="e">
        <f ca="1"/>
        <v>#REF!</v>
      </c>
      <c r="M171" s="29" t="e">
        <f ca="1"/>
        <v>#REF!</v>
      </c>
      <c r="N171" s="29" t="e">
        <f ca="1"/>
        <v>#REF!</v>
      </c>
      <c r="O171" s="2" t="e">
        <f ca="1"/>
        <v>#N/A</v>
      </c>
      <c r="P171" s="2" t="e">
        <f ca="1"/>
        <v>#N/A</v>
      </c>
      <c r="Q171" s="2" t="s">
        <v>5</v>
      </c>
      <c r="R171" s="2" t="s">
        <v>5</v>
      </c>
      <c r="U171" s="2"/>
      <c r="V171" s="2" t="s">
        <v>5</v>
      </c>
      <c r="W171" s="2" t="s">
        <v>5</v>
      </c>
      <c r="X171" s="29" t="s">
        <v>5</v>
      </c>
      <c r="Y171" s="30" t="s">
        <v>5</v>
      </c>
      <c r="Z171" s="29" t="s">
        <v>5</v>
      </c>
      <c r="AA171" s="30" t="s">
        <v>5</v>
      </c>
      <c r="AB171" s="29" t="s">
        <v>5</v>
      </c>
      <c r="AC171" s="29" t="s">
        <v>5</v>
      </c>
      <c r="AD171" s="29" t="s">
        <v>5</v>
      </c>
      <c r="AE171" s="29" t="s">
        <v>5</v>
      </c>
      <c r="AF171" s="29" t="s">
        <v>5</v>
      </c>
      <c r="AG171" s="29" t="s">
        <v>5</v>
      </c>
      <c r="AH171" s="2" t="s">
        <v>5</v>
      </c>
      <c r="AI171" s="2" t="s">
        <v>5</v>
      </c>
      <c r="AJ171" s="2" t="s">
        <v>5</v>
      </c>
      <c r="AK171" s="2" t="s">
        <v>5</v>
      </c>
    </row>
    <row r="172" spans="2:37" ht="12.5">
      <c r="B172" s="2" t="str">
        <f ca="1">IFERROR(__xludf.DUMMYFUNCTION("""COMPUTED_VALUE"""),"横浜雙葉高")</f>
        <v>横浜雙葉高</v>
      </c>
      <c r="C172" s="2" t="e">
        <f ca="1"/>
        <v>#N/A</v>
      </c>
      <c r="D172" s="2" t="e">
        <f ca="1"/>
        <v>#REF!</v>
      </c>
      <c r="E172" s="29" t="e">
        <f ca="1"/>
        <v>#REF!</v>
      </c>
      <c r="F172" s="30" t="e">
        <f ca="1"/>
        <v>#REF!</v>
      </c>
      <c r="G172" s="29" t="e">
        <f ca="1"/>
        <v>#REF!</v>
      </c>
      <c r="H172" s="30" t="e">
        <f ca="1"/>
        <v>#REF!</v>
      </c>
      <c r="I172" s="29" t="e">
        <f ca="1"/>
        <v>#REF!</v>
      </c>
      <c r="J172" s="29" t="e">
        <f ca="1"/>
        <v>#REF!</v>
      </c>
      <c r="K172" s="29" t="e">
        <f ca="1"/>
        <v>#REF!</v>
      </c>
      <c r="L172" s="29" t="e">
        <f ca="1"/>
        <v>#REF!</v>
      </c>
      <c r="M172" s="29" t="e">
        <f ca="1"/>
        <v>#REF!</v>
      </c>
      <c r="N172" s="29" t="e">
        <f ca="1"/>
        <v>#REF!</v>
      </c>
      <c r="O172" s="2" t="e">
        <f ca="1"/>
        <v>#N/A</v>
      </c>
      <c r="P172" s="2" t="e">
        <f ca="1"/>
        <v>#N/A</v>
      </c>
      <c r="Q172" s="2" t="s">
        <v>5</v>
      </c>
      <c r="R172" s="2" t="s">
        <v>5</v>
      </c>
      <c r="U172" s="2"/>
      <c r="V172" s="2" t="s">
        <v>5</v>
      </c>
      <c r="W172" s="2" t="s">
        <v>5</v>
      </c>
      <c r="X172" s="29" t="s">
        <v>5</v>
      </c>
      <c r="Y172" s="30" t="s">
        <v>5</v>
      </c>
      <c r="Z172" s="29" t="s">
        <v>5</v>
      </c>
      <c r="AA172" s="30" t="s">
        <v>5</v>
      </c>
      <c r="AB172" s="29" t="s">
        <v>5</v>
      </c>
      <c r="AC172" s="29" t="s">
        <v>5</v>
      </c>
      <c r="AD172" s="29" t="s">
        <v>5</v>
      </c>
      <c r="AE172" s="29" t="s">
        <v>5</v>
      </c>
      <c r="AF172" s="29" t="s">
        <v>5</v>
      </c>
      <c r="AG172" s="29" t="s">
        <v>5</v>
      </c>
      <c r="AH172" s="2" t="s">
        <v>5</v>
      </c>
      <c r="AI172" s="2" t="s">
        <v>5</v>
      </c>
      <c r="AJ172" s="2" t="s">
        <v>5</v>
      </c>
      <c r="AK172" s="2" t="s">
        <v>5</v>
      </c>
    </row>
    <row r="173" spans="2:37" ht="12.5">
      <c r="B173" s="2" t="str">
        <f ca="1">IFERROR(__xludf.DUMMYFUNCTION("""COMPUTED_VALUE"""),"奈良学園登美ヶ丘高")</f>
        <v>奈良学園登美ヶ丘高</v>
      </c>
      <c r="C173" s="2" t="e">
        <f ca="1"/>
        <v>#N/A</v>
      </c>
      <c r="D173" s="2" t="e">
        <f ca="1"/>
        <v>#REF!</v>
      </c>
      <c r="E173" s="29" t="e">
        <f ca="1"/>
        <v>#REF!</v>
      </c>
      <c r="F173" s="30" t="e">
        <f ca="1"/>
        <v>#REF!</v>
      </c>
      <c r="G173" s="29" t="e">
        <f ca="1"/>
        <v>#REF!</v>
      </c>
      <c r="H173" s="30" t="e">
        <f ca="1"/>
        <v>#REF!</v>
      </c>
      <c r="I173" s="29" t="e">
        <f ca="1"/>
        <v>#REF!</v>
      </c>
      <c r="J173" s="29" t="e">
        <f ca="1"/>
        <v>#REF!</v>
      </c>
      <c r="K173" s="29" t="e">
        <f ca="1"/>
        <v>#REF!</v>
      </c>
      <c r="L173" s="29" t="e">
        <f ca="1"/>
        <v>#REF!</v>
      </c>
      <c r="M173" s="29" t="e">
        <f ca="1"/>
        <v>#REF!</v>
      </c>
      <c r="N173" s="29" t="e">
        <f ca="1"/>
        <v>#REF!</v>
      </c>
      <c r="O173" s="2" t="e">
        <f ca="1"/>
        <v>#N/A</v>
      </c>
      <c r="P173" s="2" t="e">
        <f ca="1"/>
        <v>#N/A</v>
      </c>
      <c r="Q173" s="2" t="s">
        <v>5</v>
      </c>
      <c r="R173" s="2" t="s">
        <v>5</v>
      </c>
      <c r="U173" s="2"/>
      <c r="V173" s="2" t="s">
        <v>5</v>
      </c>
      <c r="W173" s="2" t="s">
        <v>5</v>
      </c>
      <c r="X173" s="29" t="s">
        <v>5</v>
      </c>
      <c r="Y173" s="30" t="s">
        <v>5</v>
      </c>
      <c r="Z173" s="29" t="s">
        <v>5</v>
      </c>
      <c r="AA173" s="30" t="s">
        <v>5</v>
      </c>
      <c r="AB173" s="29" t="s">
        <v>5</v>
      </c>
      <c r="AC173" s="29" t="s">
        <v>5</v>
      </c>
      <c r="AD173" s="29" t="s">
        <v>5</v>
      </c>
      <c r="AE173" s="29" t="s">
        <v>5</v>
      </c>
      <c r="AF173" s="29" t="s">
        <v>5</v>
      </c>
      <c r="AG173" s="29" t="s">
        <v>5</v>
      </c>
      <c r="AH173" s="2" t="s">
        <v>5</v>
      </c>
      <c r="AI173" s="2" t="s">
        <v>5</v>
      </c>
      <c r="AJ173" s="2" t="s">
        <v>5</v>
      </c>
      <c r="AK173" s="2" t="s">
        <v>5</v>
      </c>
    </row>
    <row r="174" spans="2:37" ht="12.5">
      <c r="B174" s="2" t="str">
        <f ca="1">IFERROR(__xludf.DUMMYFUNCTION("""COMPUTED_VALUE"""),"鳥取西高")</f>
        <v>鳥取西高</v>
      </c>
      <c r="C174" s="2" t="e">
        <f ca="1"/>
        <v>#N/A</v>
      </c>
      <c r="D174" s="2" t="e">
        <f ca="1"/>
        <v>#REF!</v>
      </c>
      <c r="E174" s="29" t="e">
        <f ca="1"/>
        <v>#REF!</v>
      </c>
      <c r="F174" s="30" t="e">
        <f ca="1"/>
        <v>#REF!</v>
      </c>
      <c r="G174" s="29" t="e">
        <f ca="1"/>
        <v>#REF!</v>
      </c>
      <c r="H174" s="30" t="e">
        <f ca="1"/>
        <v>#REF!</v>
      </c>
      <c r="I174" s="29" t="e">
        <f ca="1"/>
        <v>#REF!</v>
      </c>
      <c r="J174" s="29" t="e">
        <f ca="1"/>
        <v>#REF!</v>
      </c>
      <c r="K174" s="29" t="e">
        <f ca="1"/>
        <v>#REF!</v>
      </c>
      <c r="L174" s="29" t="e">
        <f ca="1"/>
        <v>#REF!</v>
      </c>
      <c r="M174" s="29" t="e">
        <f ca="1"/>
        <v>#REF!</v>
      </c>
      <c r="N174" s="29" t="e">
        <f ca="1"/>
        <v>#REF!</v>
      </c>
      <c r="O174" s="2" t="e">
        <f ca="1"/>
        <v>#N/A</v>
      </c>
      <c r="P174" s="2" t="e">
        <f ca="1"/>
        <v>#N/A</v>
      </c>
      <c r="Q174" s="2" t="s">
        <v>5</v>
      </c>
      <c r="R174" s="2" t="s">
        <v>5</v>
      </c>
      <c r="U174" s="2"/>
      <c r="V174" s="2" t="s">
        <v>5</v>
      </c>
      <c r="W174" s="2" t="s">
        <v>5</v>
      </c>
      <c r="X174" s="29" t="s">
        <v>5</v>
      </c>
      <c r="Y174" s="30" t="s">
        <v>5</v>
      </c>
      <c r="Z174" s="29" t="s">
        <v>5</v>
      </c>
      <c r="AA174" s="30" t="s">
        <v>5</v>
      </c>
      <c r="AB174" s="29" t="s">
        <v>5</v>
      </c>
      <c r="AC174" s="29" t="s">
        <v>5</v>
      </c>
      <c r="AD174" s="29" t="s">
        <v>5</v>
      </c>
      <c r="AE174" s="29" t="s">
        <v>5</v>
      </c>
      <c r="AF174" s="29" t="s">
        <v>5</v>
      </c>
      <c r="AG174" s="29" t="s">
        <v>5</v>
      </c>
      <c r="AH174" s="2" t="s">
        <v>5</v>
      </c>
      <c r="AI174" s="2" t="s">
        <v>5</v>
      </c>
      <c r="AJ174" s="2" t="s">
        <v>5</v>
      </c>
      <c r="AK174" s="2" t="s">
        <v>5</v>
      </c>
    </row>
    <row r="175" spans="2:37" ht="12.5">
      <c r="B175" s="2" t="str">
        <f ca="1">IFERROR(__xludf.DUMMYFUNCTION("""COMPUTED_VALUE"""),"東桜学館高")</f>
        <v>東桜学館高</v>
      </c>
      <c r="C175" s="2" t="e">
        <f ca="1"/>
        <v>#N/A</v>
      </c>
      <c r="D175" s="2" t="e">
        <f ca="1"/>
        <v>#REF!</v>
      </c>
      <c r="E175" s="29" t="e">
        <f ca="1"/>
        <v>#REF!</v>
      </c>
      <c r="F175" s="30" t="e">
        <f ca="1"/>
        <v>#REF!</v>
      </c>
      <c r="G175" s="29" t="e">
        <f ca="1"/>
        <v>#REF!</v>
      </c>
      <c r="H175" s="30" t="e">
        <f ca="1"/>
        <v>#REF!</v>
      </c>
      <c r="I175" s="29" t="e">
        <f ca="1"/>
        <v>#REF!</v>
      </c>
      <c r="J175" s="29" t="e">
        <f ca="1"/>
        <v>#REF!</v>
      </c>
      <c r="K175" s="29" t="e">
        <f ca="1"/>
        <v>#REF!</v>
      </c>
      <c r="L175" s="29" t="e">
        <f ca="1"/>
        <v>#REF!</v>
      </c>
      <c r="M175" s="29" t="e">
        <f ca="1"/>
        <v>#REF!</v>
      </c>
      <c r="N175" s="29" t="e">
        <f ca="1"/>
        <v>#REF!</v>
      </c>
      <c r="O175" s="2" t="e">
        <f ca="1"/>
        <v>#N/A</v>
      </c>
      <c r="P175" s="2" t="e">
        <f ca="1"/>
        <v>#N/A</v>
      </c>
      <c r="Q175" s="2" t="s">
        <v>5</v>
      </c>
      <c r="R175" s="2" t="s">
        <v>5</v>
      </c>
      <c r="U175" s="2"/>
      <c r="V175" s="2" t="s">
        <v>5</v>
      </c>
      <c r="W175" s="2" t="s">
        <v>5</v>
      </c>
      <c r="X175" s="29" t="s">
        <v>5</v>
      </c>
      <c r="Y175" s="30" t="s">
        <v>5</v>
      </c>
      <c r="Z175" s="29" t="s">
        <v>5</v>
      </c>
      <c r="AA175" s="30" t="s">
        <v>5</v>
      </c>
      <c r="AB175" s="29" t="s">
        <v>5</v>
      </c>
      <c r="AC175" s="29" t="s">
        <v>5</v>
      </c>
      <c r="AD175" s="29" t="s">
        <v>5</v>
      </c>
      <c r="AE175" s="29" t="s">
        <v>5</v>
      </c>
      <c r="AF175" s="29" t="s">
        <v>5</v>
      </c>
      <c r="AG175" s="29" t="s">
        <v>5</v>
      </c>
      <c r="AH175" s="2" t="s">
        <v>5</v>
      </c>
      <c r="AI175" s="2" t="s">
        <v>5</v>
      </c>
      <c r="AJ175" s="2" t="s">
        <v>5</v>
      </c>
      <c r="AK175" s="2" t="s">
        <v>5</v>
      </c>
    </row>
    <row r="176" spans="2:37" ht="12.5">
      <c r="B176" s="2" t="str">
        <f ca="1">IFERROR(__xludf.DUMMYFUNCTION("""COMPUTED_VALUE"""),"一ツ葉高")</f>
        <v>一ツ葉高</v>
      </c>
      <c r="C176" s="2" t="e">
        <f ca="1"/>
        <v>#N/A</v>
      </c>
      <c r="D176" s="2" t="e">
        <f ca="1"/>
        <v>#REF!</v>
      </c>
      <c r="E176" s="29" t="e">
        <f ca="1"/>
        <v>#REF!</v>
      </c>
      <c r="F176" s="30" t="e">
        <f ca="1"/>
        <v>#REF!</v>
      </c>
      <c r="G176" s="29" t="e">
        <f ca="1"/>
        <v>#REF!</v>
      </c>
      <c r="H176" s="30" t="e">
        <f ca="1"/>
        <v>#REF!</v>
      </c>
      <c r="I176" s="29" t="e">
        <f ca="1"/>
        <v>#REF!</v>
      </c>
      <c r="J176" s="29" t="e">
        <f ca="1"/>
        <v>#REF!</v>
      </c>
      <c r="K176" s="29" t="e">
        <f ca="1"/>
        <v>#REF!</v>
      </c>
      <c r="L176" s="29" t="e">
        <f ca="1"/>
        <v>#REF!</v>
      </c>
      <c r="M176" s="29" t="e">
        <f ca="1"/>
        <v>#REF!</v>
      </c>
      <c r="N176" s="29" t="e">
        <f ca="1"/>
        <v>#REF!</v>
      </c>
      <c r="O176" s="2" t="e">
        <f ca="1"/>
        <v>#N/A</v>
      </c>
      <c r="P176" s="2" t="e">
        <f ca="1"/>
        <v>#N/A</v>
      </c>
      <c r="Q176" s="2" t="s">
        <v>5</v>
      </c>
      <c r="R176" s="2" t="s">
        <v>5</v>
      </c>
      <c r="U176" s="2"/>
      <c r="V176" s="2" t="s">
        <v>5</v>
      </c>
      <c r="W176" s="2" t="s">
        <v>5</v>
      </c>
      <c r="X176" s="29" t="s">
        <v>5</v>
      </c>
      <c r="Y176" s="30" t="s">
        <v>5</v>
      </c>
      <c r="Z176" s="29" t="s">
        <v>5</v>
      </c>
      <c r="AA176" s="30" t="s">
        <v>5</v>
      </c>
      <c r="AB176" s="29" t="s">
        <v>5</v>
      </c>
      <c r="AC176" s="29" t="s">
        <v>5</v>
      </c>
      <c r="AD176" s="29" t="s">
        <v>5</v>
      </c>
      <c r="AE176" s="29" t="s">
        <v>5</v>
      </c>
      <c r="AF176" s="29" t="s">
        <v>5</v>
      </c>
      <c r="AG176" s="29" t="s">
        <v>5</v>
      </c>
      <c r="AH176" s="2" t="s">
        <v>5</v>
      </c>
      <c r="AI176" s="2" t="s">
        <v>5</v>
      </c>
      <c r="AJ176" s="2" t="s">
        <v>5</v>
      </c>
      <c r="AK176" s="2" t="s">
        <v>5</v>
      </c>
    </row>
    <row r="177" spans="2:37" ht="12.5">
      <c r="B177" s="2" t="str">
        <f ca="1">IFERROR(__xludf.DUMMYFUNCTION("""COMPUTED_VALUE"""),"柏陽高")</f>
        <v>柏陽高</v>
      </c>
      <c r="C177" s="2" t="e">
        <f ca="1"/>
        <v>#N/A</v>
      </c>
      <c r="D177" s="2" t="e">
        <f ca="1"/>
        <v>#REF!</v>
      </c>
      <c r="E177" s="29" t="e">
        <f ca="1"/>
        <v>#REF!</v>
      </c>
      <c r="F177" s="30" t="e">
        <f ca="1"/>
        <v>#REF!</v>
      </c>
      <c r="G177" s="29" t="e">
        <f ca="1"/>
        <v>#REF!</v>
      </c>
      <c r="H177" s="30" t="e">
        <f ca="1"/>
        <v>#REF!</v>
      </c>
      <c r="I177" s="29" t="e">
        <f ca="1"/>
        <v>#REF!</v>
      </c>
      <c r="J177" s="29" t="e">
        <f ca="1"/>
        <v>#REF!</v>
      </c>
      <c r="K177" s="29" t="e">
        <f ca="1"/>
        <v>#REF!</v>
      </c>
      <c r="L177" s="29" t="e">
        <f ca="1"/>
        <v>#REF!</v>
      </c>
      <c r="M177" s="29" t="e">
        <f ca="1"/>
        <v>#REF!</v>
      </c>
      <c r="N177" s="29" t="e">
        <f ca="1"/>
        <v>#REF!</v>
      </c>
      <c r="O177" s="2" t="e">
        <f ca="1"/>
        <v>#N/A</v>
      </c>
      <c r="P177" s="2" t="e">
        <f ca="1"/>
        <v>#N/A</v>
      </c>
      <c r="Q177" s="2" t="s">
        <v>5</v>
      </c>
      <c r="R177" s="2" t="s">
        <v>5</v>
      </c>
      <c r="U177" s="2"/>
      <c r="V177" s="2" t="s">
        <v>5</v>
      </c>
      <c r="W177" s="2" t="s">
        <v>5</v>
      </c>
      <c r="X177" s="29" t="s">
        <v>5</v>
      </c>
      <c r="Y177" s="30" t="s">
        <v>5</v>
      </c>
      <c r="Z177" s="29" t="s">
        <v>5</v>
      </c>
      <c r="AA177" s="30" t="s">
        <v>5</v>
      </c>
      <c r="AB177" s="29" t="s">
        <v>5</v>
      </c>
      <c r="AC177" s="29" t="s">
        <v>5</v>
      </c>
      <c r="AD177" s="29" t="s">
        <v>5</v>
      </c>
      <c r="AE177" s="29" t="s">
        <v>5</v>
      </c>
      <c r="AF177" s="29" t="s">
        <v>5</v>
      </c>
      <c r="AG177" s="29" t="s">
        <v>5</v>
      </c>
      <c r="AH177" s="2" t="s">
        <v>5</v>
      </c>
      <c r="AI177" s="2" t="s">
        <v>5</v>
      </c>
      <c r="AJ177" s="2" t="s">
        <v>5</v>
      </c>
      <c r="AK177" s="2" t="s">
        <v>5</v>
      </c>
    </row>
    <row r="178" spans="2:37" ht="12.5">
      <c r="B178" s="2" t="str">
        <f ca="1">IFERROR(__xludf.DUMMYFUNCTION("""COMPUTED_VALUE"""),"坂出高")</f>
        <v>坂出高</v>
      </c>
      <c r="C178" s="2" t="e">
        <f ca="1"/>
        <v>#N/A</v>
      </c>
      <c r="D178" s="2" t="e">
        <f ca="1"/>
        <v>#REF!</v>
      </c>
      <c r="E178" s="29" t="e">
        <f ca="1"/>
        <v>#REF!</v>
      </c>
      <c r="F178" s="30" t="e">
        <f ca="1"/>
        <v>#REF!</v>
      </c>
      <c r="G178" s="29" t="e">
        <f ca="1"/>
        <v>#REF!</v>
      </c>
      <c r="H178" s="30" t="e">
        <f ca="1"/>
        <v>#REF!</v>
      </c>
      <c r="I178" s="29" t="e">
        <f ca="1"/>
        <v>#REF!</v>
      </c>
      <c r="J178" s="29" t="e">
        <f ca="1"/>
        <v>#REF!</v>
      </c>
      <c r="K178" s="29" t="e">
        <f ca="1"/>
        <v>#REF!</v>
      </c>
      <c r="L178" s="29" t="e">
        <f ca="1"/>
        <v>#REF!</v>
      </c>
      <c r="M178" s="29" t="e">
        <f ca="1"/>
        <v>#REF!</v>
      </c>
      <c r="N178" s="29" t="e">
        <f ca="1"/>
        <v>#REF!</v>
      </c>
      <c r="O178" s="2" t="e">
        <f ca="1"/>
        <v>#N/A</v>
      </c>
      <c r="P178" s="2" t="e">
        <f ca="1"/>
        <v>#N/A</v>
      </c>
      <c r="Q178" s="2" t="s">
        <v>5</v>
      </c>
      <c r="R178" s="2" t="s">
        <v>5</v>
      </c>
      <c r="U178" s="2"/>
      <c r="V178" s="2" t="s">
        <v>5</v>
      </c>
      <c r="W178" s="2" t="s">
        <v>5</v>
      </c>
      <c r="X178" s="29" t="s">
        <v>5</v>
      </c>
      <c r="Y178" s="30" t="s">
        <v>5</v>
      </c>
      <c r="Z178" s="29" t="s">
        <v>5</v>
      </c>
      <c r="AA178" s="30" t="s">
        <v>5</v>
      </c>
      <c r="AB178" s="29" t="s">
        <v>5</v>
      </c>
      <c r="AC178" s="29" t="s">
        <v>5</v>
      </c>
      <c r="AD178" s="29" t="s">
        <v>5</v>
      </c>
      <c r="AE178" s="29" t="s">
        <v>5</v>
      </c>
      <c r="AF178" s="29" t="s">
        <v>5</v>
      </c>
      <c r="AG178" s="29" t="s">
        <v>5</v>
      </c>
      <c r="AH178" s="2" t="s">
        <v>5</v>
      </c>
      <c r="AI178" s="2" t="s">
        <v>5</v>
      </c>
      <c r="AJ178" s="2" t="s">
        <v>5</v>
      </c>
      <c r="AK178" s="2" t="s">
        <v>5</v>
      </c>
    </row>
    <row r="179" spans="2:37" ht="12.5">
      <c r="B179" s="2" t="str">
        <f ca="1">IFERROR(__xludf.DUMMYFUNCTION("""COMPUTED_VALUE"""),"福岡大附大濠高")</f>
        <v>福岡大附大濠高</v>
      </c>
      <c r="C179" s="2" t="e">
        <f ca="1"/>
        <v>#N/A</v>
      </c>
      <c r="D179" s="2" t="e">
        <f ca="1"/>
        <v>#REF!</v>
      </c>
      <c r="E179" s="29" t="e">
        <f ca="1"/>
        <v>#REF!</v>
      </c>
      <c r="F179" s="30" t="e">
        <f ca="1"/>
        <v>#REF!</v>
      </c>
      <c r="G179" s="29" t="e">
        <f ca="1"/>
        <v>#REF!</v>
      </c>
      <c r="H179" s="30" t="e">
        <f ca="1"/>
        <v>#REF!</v>
      </c>
      <c r="I179" s="29" t="e">
        <f ca="1"/>
        <v>#REF!</v>
      </c>
      <c r="J179" s="29" t="e">
        <f ca="1"/>
        <v>#REF!</v>
      </c>
      <c r="K179" s="29" t="e">
        <f ca="1"/>
        <v>#REF!</v>
      </c>
      <c r="L179" s="29" t="e">
        <f ca="1"/>
        <v>#REF!</v>
      </c>
      <c r="M179" s="29" t="e">
        <f ca="1"/>
        <v>#REF!</v>
      </c>
      <c r="N179" s="29" t="e">
        <f ca="1"/>
        <v>#REF!</v>
      </c>
      <c r="O179" s="2" t="e">
        <f ca="1"/>
        <v>#N/A</v>
      </c>
      <c r="P179" s="2" t="e">
        <f ca="1"/>
        <v>#N/A</v>
      </c>
      <c r="Q179" s="2" t="s">
        <v>5</v>
      </c>
      <c r="R179" s="2" t="s">
        <v>5</v>
      </c>
      <c r="U179" s="2"/>
      <c r="V179" s="2" t="s">
        <v>5</v>
      </c>
      <c r="W179" s="2" t="s">
        <v>5</v>
      </c>
      <c r="X179" s="29" t="s">
        <v>5</v>
      </c>
      <c r="Y179" s="30" t="s">
        <v>5</v>
      </c>
      <c r="Z179" s="29" t="s">
        <v>5</v>
      </c>
      <c r="AA179" s="30" t="s">
        <v>5</v>
      </c>
      <c r="AB179" s="29" t="s">
        <v>5</v>
      </c>
      <c r="AC179" s="29" t="s">
        <v>5</v>
      </c>
      <c r="AD179" s="29" t="s">
        <v>5</v>
      </c>
      <c r="AE179" s="29" t="s">
        <v>5</v>
      </c>
      <c r="AF179" s="29" t="s">
        <v>5</v>
      </c>
      <c r="AG179" s="29" t="s">
        <v>5</v>
      </c>
      <c r="AH179" s="2" t="s">
        <v>5</v>
      </c>
      <c r="AI179" s="2" t="s">
        <v>5</v>
      </c>
      <c r="AJ179" s="2" t="s">
        <v>5</v>
      </c>
      <c r="AK179" s="2" t="s">
        <v>5</v>
      </c>
    </row>
    <row r="180" spans="2:37" ht="12.5">
      <c r="B180" s="2" t="str">
        <f ca="1">IFERROR(__xludf.DUMMYFUNCTION("""COMPUTED_VALUE"""),"穎明館高")</f>
        <v>穎明館高</v>
      </c>
      <c r="C180" s="2" t="e">
        <f ca="1"/>
        <v>#N/A</v>
      </c>
      <c r="D180" s="2" t="e">
        <f ca="1"/>
        <v>#REF!</v>
      </c>
      <c r="E180" s="29" t="e">
        <f ca="1"/>
        <v>#REF!</v>
      </c>
      <c r="F180" s="30" t="e">
        <f ca="1"/>
        <v>#REF!</v>
      </c>
      <c r="G180" s="29" t="e">
        <f ca="1"/>
        <v>#REF!</v>
      </c>
      <c r="H180" s="30" t="e">
        <f ca="1"/>
        <v>#REF!</v>
      </c>
      <c r="I180" s="29" t="e">
        <f ca="1"/>
        <v>#REF!</v>
      </c>
      <c r="J180" s="29" t="e">
        <f ca="1"/>
        <v>#REF!</v>
      </c>
      <c r="K180" s="29" t="e">
        <f ca="1"/>
        <v>#REF!</v>
      </c>
      <c r="L180" s="29" t="e">
        <f ca="1"/>
        <v>#REF!</v>
      </c>
      <c r="M180" s="29" t="e">
        <f ca="1"/>
        <v>#REF!</v>
      </c>
      <c r="N180" s="29" t="e">
        <f ca="1"/>
        <v>#REF!</v>
      </c>
      <c r="O180" s="2" t="e">
        <f ca="1"/>
        <v>#N/A</v>
      </c>
      <c r="P180" s="2" t="e">
        <f ca="1"/>
        <v>#N/A</v>
      </c>
      <c r="Q180" s="2" t="s">
        <v>5</v>
      </c>
      <c r="R180" s="2" t="s">
        <v>5</v>
      </c>
      <c r="U180" s="2"/>
      <c r="V180" s="2" t="s">
        <v>5</v>
      </c>
      <c r="W180" s="2" t="s">
        <v>5</v>
      </c>
      <c r="X180" s="29" t="s">
        <v>5</v>
      </c>
      <c r="Y180" s="30" t="s">
        <v>5</v>
      </c>
      <c r="Z180" s="29" t="s">
        <v>5</v>
      </c>
      <c r="AA180" s="30" t="s">
        <v>5</v>
      </c>
      <c r="AB180" s="29" t="s">
        <v>5</v>
      </c>
      <c r="AC180" s="29" t="s">
        <v>5</v>
      </c>
      <c r="AD180" s="29" t="s">
        <v>5</v>
      </c>
      <c r="AE180" s="29" t="s">
        <v>5</v>
      </c>
      <c r="AF180" s="29" t="s">
        <v>5</v>
      </c>
      <c r="AG180" s="29" t="s">
        <v>5</v>
      </c>
      <c r="AH180" s="2" t="s">
        <v>5</v>
      </c>
      <c r="AI180" s="2" t="s">
        <v>5</v>
      </c>
      <c r="AJ180" s="2" t="s">
        <v>5</v>
      </c>
      <c r="AK180" s="2" t="s">
        <v>5</v>
      </c>
    </row>
    <row r="181" spans="2:37" ht="12.5">
      <c r="B181" s="2" t="str">
        <f ca="1">IFERROR(__xludf.DUMMYFUNCTION("""COMPUTED_VALUE"""),"聖セシリア女子高")</f>
        <v>聖セシリア女子高</v>
      </c>
      <c r="C181" s="2" t="e">
        <f ca="1"/>
        <v>#N/A</v>
      </c>
      <c r="D181" s="2" t="e">
        <f ca="1"/>
        <v>#REF!</v>
      </c>
      <c r="E181" s="29" t="e">
        <f ca="1"/>
        <v>#REF!</v>
      </c>
      <c r="F181" s="30" t="e">
        <f ca="1"/>
        <v>#REF!</v>
      </c>
      <c r="G181" s="29" t="e">
        <f ca="1"/>
        <v>#REF!</v>
      </c>
      <c r="H181" s="30" t="e">
        <f ca="1"/>
        <v>#REF!</v>
      </c>
      <c r="I181" s="29" t="e">
        <f ca="1"/>
        <v>#REF!</v>
      </c>
      <c r="J181" s="29" t="e">
        <f ca="1"/>
        <v>#REF!</v>
      </c>
      <c r="K181" s="29" t="e">
        <f ca="1"/>
        <v>#REF!</v>
      </c>
      <c r="L181" s="29" t="e">
        <f ca="1"/>
        <v>#REF!</v>
      </c>
      <c r="M181" s="29" t="e">
        <f ca="1"/>
        <v>#REF!</v>
      </c>
      <c r="N181" s="29" t="e">
        <f ca="1"/>
        <v>#REF!</v>
      </c>
      <c r="O181" s="2" t="e">
        <f ca="1"/>
        <v>#N/A</v>
      </c>
      <c r="P181" s="2" t="e">
        <f ca="1"/>
        <v>#N/A</v>
      </c>
      <c r="Q181" s="2" t="s">
        <v>5</v>
      </c>
      <c r="R181" s="2" t="s">
        <v>5</v>
      </c>
      <c r="U181" s="2"/>
      <c r="V181" s="2" t="s">
        <v>5</v>
      </c>
      <c r="W181" s="2" t="s">
        <v>5</v>
      </c>
      <c r="X181" s="29" t="s">
        <v>5</v>
      </c>
      <c r="Y181" s="30" t="s">
        <v>5</v>
      </c>
      <c r="Z181" s="29" t="s">
        <v>5</v>
      </c>
      <c r="AA181" s="30" t="s">
        <v>5</v>
      </c>
      <c r="AB181" s="29" t="s">
        <v>5</v>
      </c>
      <c r="AC181" s="29" t="s">
        <v>5</v>
      </c>
      <c r="AD181" s="29" t="s">
        <v>5</v>
      </c>
      <c r="AE181" s="29" t="s">
        <v>5</v>
      </c>
      <c r="AF181" s="29" t="s">
        <v>5</v>
      </c>
      <c r="AG181" s="29" t="s">
        <v>5</v>
      </c>
      <c r="AH181" s="2" t="s">
        <v>5</v>
      </c>
      <c r="AI181" s="2" t="s">
        <v>5</v>
      </c>
      <c r="AJ181" s="2" t="s">
        <v>5</v>
      </c>
      <c r="AK181" s="2" t="s">
        <v>5</v>
      </c>
    </row>
    <row r="182" spans="2:37" ht="12.5">
      <c r="B182" s="2" t="str">
        <f ca="1">IFERROR(__xludf.DUMMYFUNCTION("""COMPUTED_VALUE"""),"基町高")</f>
        <v>基町高</v>
      </c>
      <c r="C182" s="2" t="e">
        <f ca="1"/>
        <v>#N/A</v>
      </c>
      <c r="D182" s="2" t="e">
        <f ca="1"/>
        <v>#REF!</v>
      </c>
      <c r="E182" s="29" t="e">
        <f ca="1"/>
        <v>#REF!</v>
      </c>
      <c r="F182" s="30" t="e">
        <f ca="1"/>
        <v>#REF!</v>
      </c>
      <c r="G182" s="29" t="e">
        <f ca="1"/>
        <v>#REF!</v>
      </c>
      <c r="H182" s="30" t="e">
        <f ca="1"/>
        <v>#REF!</v>
      </c>
      <c r="I182" s="29" t="e">
        <f ca="1"/>
        <v>#REF!</v>
      </c>
      <c r="J182" s="29" t="e">
        <f ca="1"/>
        <v>#REF!</v>
      </c>
      <c r="K182" s="29" t="e">
        <f ca="1"/>
        <v>#REF!</v>
      </c>
      <c r="L182" s="29" t="e">
        <f ca="1"/>
        <v>#REF!</v>
      </c>
      <c r="M182" s="29" t="e">
        <f ca="1"/>
        <v>#REF!</v>
      </c>
      <c r="N182" s="29" t="e">
        <f ca="1"/>
        <v>#REF!</v>
      </c>
      <c r="O182" s="2" t="e">
        <f ca="1"/>
        <v>#N/A</v>
      </c>
      <c r="P182" s="2" t="e">
        <f ca="1"/>
        <v>#N/A</v>
      </c>
      <c r="Q182" s="2" t="s">
        <v>5</v>
      </c>
      <c r="R182" s="2" t="s">
        <v>5</v>
      </c>
      <c r="U182" s="2"/>
      <c r="V182" s="2" t="s">
        <v>5</v>
      </c>
      <c r="W182" s="2" t="s">
        <v>5</v>
      </c>
      <c r="X182" s="29" t="s">
        <v>5</v>
      </c>
      <c r="Y182" s="30" t="s">
        <v>5</v>
      </c>
      <c r="Z182" s="29" t="s">
        <v>5</v>
      </c>
      <c r="AA182" s="30" t="s">
        <v>5</v>
      </c>
      <c r="AB182" s="29" t="s">
        <v>5</v>
      </c>
      <c r="AC182" s="29" t="s">
        <v>5</v>
      </c>
      <c r="AD182" s="29" t="s">
        <v>5</v>
      </c>
      <c r="AE182" s="29" t="s">
        <v>5</v>
      </c>
      <c r="AF182" s="29" t="s">
        <v>5</v>
      </c>
      <c r="AG182" s="29" t="s">
        <v>5</v>
      </c>
      <c r="AH182" s="2" t="s">
        <v>5</v>
      </c>
      <c r="AI182" s="2" t="s">
        <v>5</v>
      </c>
      <c r="AJ182" s="2" t="s">
        <v>5</v>
      </c>
      <c r="AK182" s="2" t="s">
        <v>5</v>
      </c>
    </row>
    <row r="183" spans="2:37" ht="12.5">
      <c r="B183" s="2" t="str">
        <f ca="1">IFERROR(__xludf.DUMMYFUNCTION("""COMPUTED_VALUE"""),"日本女子大附高")</f>
        <v>日本女子大附高</v>
      </c>
      <c r="C183" s="2" t="e">
        <f ca="1"/>
        <v>#N/A</v>
      </c>
      <c r="D183" s="2" t="e">
        <f ca="1"/>
        <v>#REF!</v>
      </c>
      <c r="E183" s="29" t="e">
        <f ca="1"/>
        <v>#REF!</v>
      </c>
      <c r="F183" s="30" t="e">
        <f ca="1"/>
        <v>#REF!</v>
      </c>
      <c r="G183" s="29" t="e">
        <f ca="1"/>
        <v>#REF!</v>
      </c>
      <c r="H183" s="30" t="e">
        <f ca="1"/>
        <v>#REF!</v>
      </c>
      <c r="I183" s="29" t="e">
        <f ca="1"/>
        <v>#REF!</v>
      </c>
      <c r="J183" s="29" t="e">
        <f ca="1"/>
        <v>#REF!</v>
      </c>
      <c r="K183" s="29" t="e">
        <f ca="1"/>
        <v>#REF!</v>
      </c>
      <c r="L183" s="29" t="e">
        <f ca="1"/>
        <v>#REF!</v>
      </c>
      <c r="M183" s="29" t="e">
        <f ca="1"/>
        <v>#REF!</v>
      </c>
      <c r="N183" s="29" t="e">
        <f ca="1"/>
        <v>#REF!</v>
      </c>
      <c r="O183" s="2" t="e">
        <f ca="1"/>
        <v>#N/A</v>
      </c>
      <c r="P183" s="2" t="e">
        <f ca="1"/>
        <v>#N/A</v>
      </c>
      <c r="Q183" s="2" t="s">
        <v>5</v>
      </c>
      <c r="R183" s="2" t="s">
        <v>5</v>
      </c>
      <c r="U183" s="2"/>
      <c r="V183" s="2" t="s">
        <v>5</v>
      </c>
      <c r="W183" s="2" t="s">
        <v>5</v>
      </c>
      <c r="X183" s="29" t="s">
        <v>5</v>
      </c>
      <c r="Y183" s="30" t="s">
        <v>5</v>
      </c>
      <c r="Z183" s="29" t="s">
        <v>5</v>
      </c>
      <c r="AA183" s="30" t="s">
        <v>5</v>
      </c>
      <c r="AB183" s="29" t="s">
        <v>5</v>
      </c>
      <c r="AC183" s="29" t="s">
        <v>5</v>
      </c>
      <c r="AD183" s="29" t="s">
        <v>5</v>
      </c>
      <c r="AE183" s="29" t="s">
        <v>5</v>
      </c>
      <c r="AF183" s="29" t="s">
        <v>5</v>
      </c>
      <c r="AG183" s="29" t="s">
        <v>5</v>
      </c>
      <c r="AH183" s="2" t="s">
        <v>5</v>
      </c>
      <c r="AI183" s="2" t="s">
        <v>5</v>
      </c>
      <c r="AJ183" s="2" t="s">
        <v>5</v>
      </c>
      <c r="AK183" s="2" t="s">
        <v>5</v>
      </c>
    </row>
    <row r="184" spans="2:37" ht="12.5">
      <c r="B184" s="2" t="str">
        <f ca="1">IFERROR(__xludf.DUMMYFUNCTION("""COMPUTED_VALUE"""),"金沢西高")</f>
        <v>金沢西高</v>
      </c>
      <c r="C184" s="2" t="e">
        <f ca="1"/>
        <v>#N/A</v>
      </c>
      <c r="D184" s="2" t="e">
        <f ca="1"/>
        <v>#REF!</v>
      </c>
      <c r="E184" s="29" t="e">
        <f ca="1"/>
        <v>#REF!</v>
      </c>
      <c r="F184" s="30" t="e">
        <f ca="1"/>
        <v>#REF!</v>
      </c>
      <c r="G184" s="29" t="e">
        <f ca="1"/>
        <v>#REF!</v>
      </c>
      <c r="H184" s="30" t="e">
        <f ca="1"/>
        <v>#REF!</v>
      </c>
      <c r="I184" s="29" t="e">
        <f ca="1"/>
        <v>#REF!</v>
      </c>
      <c r="J184" s="29" t="e">
        <f ca="1"/>
        <v>#REF!</v>
      </c>
      <c r="K184" s="29" t="e">
        <f ca="1"/>
        <v>#REF!</v>
      </c>
      <c r="L184" s="29" t="e">
        <f ca="1"/>
        <v>#REF!</v>
      </c>
      <c r="M184" s="29" t="e">
        <f ca="1"/>
        <v>#REF!</v>
      </c>
      <c r="N184" s="29" t="e">
        <f ca="1"/>
        <v>#REF!</v>
      </c>
      <c r="O184" s="2" t="e">
        <f ca="1"/>
        <v>#N/A</v>
      </c>
      <c r="P184" s="2" t="e">
        <f ca="1"/>
        <v>#N/A</v>
      </c>
      <c r="Q184" s="2" t="s">
        <v>5</v>
      </c>
      <c r="R184" s="2" t="s">
        <v>5</v>
      </c>
      <c r="U184" s="2"/>
      <c r="V184" s="2" t="s">
        <v>5</v>
      </c>
      <c r="W184" s="2" t="s">
        <v>5</v>
      </c>
      <c r="X184" s="29" t="s">
        <v>5</v>
      </c>
      <c r="Y184" s="30" t="s">
        <v>5</v>
      </c>
      <c r="Z184" s="29" t="s">
        <v>5</v>
      </c>
      <c r="AA184" s="30" t="s">
        <v>5</v>
      </c>
      <c r="AB184" s="29" t="s">
        <v>5</v>
      </c>
      <c r="AC184" s="29" t="s">
        <v>5</v>
      </c>
      <c r="AD184" s="29" t="s">
        <v>5</v>
      </c>
      <c r="AE184" s="29" t="s">
        <v>5</v>
      </c>
      <c r="AF184" s="29" t="s">
        <v>5</v>
      </c>
      <c r="AG184" s="29" t="s">
        <v>5</v>
      </c>
      <c r="AH184" s="2" t="s">
        <v>5</v>
      </c>
      <c r="AI184" s="2" t="s">
        <v>5</v>
      </c>
      <c r="AJ184" s="2" t="s">
        <v>5</v>
      </c>
      <c r="AK184" s="2" t="s">
        <v>5</v>
      </c>
    </row>
    <row r="185" spans="2:37" ht="12.5">
      <c r="B185" s="2" t="str">
        <f ca="1">IFERROR(__xludf.DUMMYFUNCTION("""COMPUTED_VALUE"""),"長良高")</f>
        <v>長良高</v>
      </c>
      <c r="C185" s="2" t="e">
        <f ca="1"/>
        <v>#N/A</v>
      </c>
      <c r="D185" s="2" t="e">
        <f ca="1"/>
        <v>#REF!</v>
      </c>
      <c r="E185" s="29" t="e">
        <f ca="1"/>
        <v>#REF!</v>
      </c>
      <c r="F185" s="30" t="e">
        <f ca="1"/>
        <v>#REF!</v>
      </c>
      <c r="G185" s="29" t="e">
        <f ca="1"/>
        <v>#REF!</v>
      </c>
      <c r="H185" s="30" t="e">
        <f ca="1"/>
        <v>#REF!</v>
      </c>
      <c r="I185" s="29" t="e">
        <f ca="1"/>
        <v>#REF!</v>
      </c>
      <c r="J185" s="29" t="e">
        <f ca="1"/>
        <v>#REF!</v>
      </c>
      <c r="K185" s="29" t="e">
        <f ca="1"/>
        <v>#REF!</v>
      </c>
      <c r="L185" s="29" t="e">
        <f ca="1"/>
        <v>#REF!</v>
      </c>
      <c r="M185" s="29" t="e">
        <f ca="1"/>
        <v>#REF!</v>
      </c>
      <c r="N185" s="29" t="e">
        <f ca="1"/>
        <v>#REF!</v>
      </c>
      <c r="O185" s="2" t="e">
        <f ca="1"/>
        <v>#N/A</v>
      </c>
      <c r="P185" s="2" t="e">
        <f ca="1"/>
        <v>#N/A</v>
      </c>
      <c r="Q185" s="2" t="s">
        <v>5</v>
      </c>
      <c r="R185" s="2" t="s">
        <v>5</v>
      </c>
      <c r="U185" s="2"/>
      <c r="V185" s="2" t="s">
        <v>5</v>
      </c>
      <c r="W185" s="2" t="s">
        <v>5</v>
      </c>
      <c r="X185" s="29" t="s">
        <v>5</v>
      </c>
      <c r="Y185" s="30" t="s">
        <v>5</v>
      </c>
      <c r="Z185" s="29" t="s">
        <v>5</v>
      </c>
      <c r="AA185" s="30" t="s">
        <v>5</v>
      </c>
      <c r="AB185" s="29" t="s">
        <v>5</v>
      </c>
      <c r="AC185" s="29" t="s">
        <v>5</v>
      </c>
      <c r="AD185" s="29" t="s">
        <v>5</v>
      </c>
      <c r="AE185" s="29" t="s">
        <v>5</v>
      </c>
      <c r="AF185" s="29" t="s">
        <v>5</v>
      </c>
      <c r="AG185" s="29" t="s">
        <v>5</v>
      </c>
      <c r="AH185" s="2" t="s">
        <v>5</v>
      </c>
      <c r="AI185" s="2" t="s">
        <v>5</v>
      </c>
      <c r="AJ185" s="2" t="s">
        <v>5</v>
      </c>
      <c r="AK185" s="2" t="s">
        <v>5</v>
      </c>
    </row>
    <row r="186" spans="2:37" ht="12.5">
      <c r="B186" s="2" t="str">
        <f ca="1">IFERROR(__xludf.DUMMYFUNCTION("""COMPUTED_VALUE"""),"光塩女子学院")</f>
        <v>光塩女子学院</v>
      </c>
      <c r="C186" s="2" t="e">
        <f ca="1"/>
        <v>#N/A</v>
      </c>
      <c r="D186" s="2" t="e">
        <f ca="1"/>
        <v>#REF!</v>
      </c>
      <c r="E186" s="29" t="e">
        <f ca="1"/>
        <v>#REF!</v>
      </c>
      <c r="F186" s="30" t="e">
        <f ca="1"/>
        <v>#REF!</v>
      </c>
      <c r="G186" s="29" t="e">
        <f ca="1"/>
        <v>#REF!</v>
      </c>
      <c r="H186" s="30" t="e">
        <f ca="1"/>
        <v>#REF!</v>
      </c>
      <c r="I186" s="29" t="e">
        <f ca="1"/>
        <v>#REF!</v>
      </c>
      <c r="J186" s="29" t="e">
        <f ca="1"/>
        <v>#REF!</v>
      </c>
      <c r="K186" s="29" t="e">
        <f ca="1"/>
        <v>#REF!</v>
      </c>
      <c r="L186" s="29" t="e">
        <f ca="1"/>
        <v>#REF!</v>
      </c>
      <c r="M186" s="29" t="e">
        <f ca="1"/>
        <v>#REF!</v>
      </c>
      <c r="N186" s="29" t="e">
        <f ca="1"/>
        <v>#REF!</v>
      </c>
      <c r="O186" s="2" t="e">
        <f ca="1"/>
        <v>#N/A</v>
      </c>
      <c r="P186" s="2" t="e">
        <f ca="1"/>
        <v>#N/A</v>
      </c>
      <c r="Q186" s="2" t="s">
        <v>5</v>
      </c>
      <c r="R186" s="2" t="s">
        <v>5</v>
      </c>
      <c r="U186" s="2"/>
      <c r="V186" s="2" t="s">
        <v>5</v>
      </c>
      <c r="W186" s="2" t="s">
        <v>5</v>
      </c>
      <c r="X186" s="29" t="s">
        <v>5</v>
      </c>
      <c r="Y186" s="30" t="s">
        <v>5</v>
      </c>
      <c r="Z186" s="29" t="s">
        <v>5</v>
      </c>
      <c r="AA186" s="30" t="s">
        <v>5</v>
      </c>
      <c r="AB186" s="29" t="s">
        <v>5</v>
      </c>
      <c r="AC186" s="29" t="s">
        <v>5</v>
      </c>
      <c r="AD186" s="29" t="s">
        <v>5</v>
      </c>
      <c r="AE186" s="29" t="s">
        <v>5</v>
      </c>
      <c r="AF186" s="29" t="s">
        <v>5</v>
      </c>
      <c r="AG186" s="29" t="s">
        <v>5</v>
      </c>
      <c r="AH186" s="2" t="s">
        <v>5</v>
      </c>
      <c r="AI186" s="2" t="s">
        <v>5</v>
      </c>
      <c r="AJ186" s="2" t="s">
        <v>5</v>
      </c>
      <c r="AK186" s="2" t="s">
        <v>5</v>
      </c>
    </row>
    <row r="187" spans="2:37" ht="12.5">
      <c r="B187" s="2" t="str">
        <f ca="1">IFERROR(__xludf.DUMMYFUNCTION("""COMPUTED_VALUE"""),"桐光学園高")</f>
        <v>桐光学園高</v>
      </c>
      <c r="C187" s="2" t="e">
        <f ca="1"/>
        <v>#N/A</v>
      </c>
      <c r="D187" s="2" t="e">
        <f ca="1"/>
        <v>#REF!</v>
      </c>
      <c r="E187" s="29" t="e">
        <f ca="1"/>
        <v>#REF!</v>
      </c>
      <c r="F187" s="30" t="e">
        <f ca="1"/>
        <v>#REF!</v>
      </c>
      <c r="G187" s="29" t="e">
        <f ca="1"/>
        <v>#REF!</v>
      </c>
      <c r="H187" s="30" t="e">
        <f ca="1"/>
        <v>#REF!</v>
      </c>
      <c r="I187" s="29" t="e">
        <f ca="1"/>
        <v>#REF!</v>
      </c>
      <c r="J187" s="29" t="e">
        <f ca="1"/>
        <v>#REF!</v>
      </c>
      <c r="K187" s="29" t="e">
        <f ca="1"/>
        <v>#REF!</v>
      </c>
      <c r="L187" s="29" t="e">
        <f ca="1"/>
        <v>#REF!</v>
      </c>
      <c r="M187" s="29" t="e">
        <f ca="1"/>
        <v>#REF!</v>
      </c>
      <c r="N187" s="29" t="e">
        <f ca="1"/>
        <v>#REF!</v>
      </c>
      <c r="O187" s="2" t="e">
        <f ca="1"/>
        <v>#N/A</v>
      </c>
      <c r="P187" s="2" t="e">
        <f ca="1"/>
        <v>#N/A</v>
      </c>
      <c r="Q187" s="2" t="s">
        <v>5</v>
      </c>
      <c r="R187" s="2" t="s">
        <v>5</v>
      </c>
      <c r="U187" s="2"/>
      <c r="V187" s="2" t="s">
        <v>5</v>
      </c>
      <c r="W187" s="2" t="s">
        <v>5</v>
      </c>
      <c r="X187" s="29" t="s">
        <v>5</v>
      </c>
      <c r="Y187" s="30" t="s">
        <v>5</v>
      </c>
      <c r="Z187" s="29" t="s">
        <v>5</v>
      </c>
      <c r="AA187" s="30" t="s">
        <v>5</v>
      </c>
      <c r="AB187" s="29" t="s">
        <v>5</v>
      </c>
      <c r="AC187" s="29" t="s">
        <v>5</v>
      </c>
      <c r="AD187" s="29" t="s">
        <v>5</v>
      </c>
      <c r="AE187" s="29" t="s">
        <v>5</v>
      </c>
      <c r="AF187" s="29" t="s">
        <v>5</v>
      </c>
      <c r="AG187" s="29" t="s">
        <v>5</v>
      </c>
      <c r="AH187" s="2" t="s">
        <v>5</v>
      </c>
      <c r="AI187" s="2" t="s">
        <v>5</v>
      </c>
      <c r="AJ187" s="2" t="s">
        <v>5</v>
      </c>
      <c r="AK187" s="2" t="s">
        <v>5</v>
      </c>
    </row>
    <row r="188" spans="2:37" ht="12.5">
      <c r="B188" s="2" t="str">
        <f ca="1">IFERROR(__xludf.DUMMYFUNCTION("""COMPUTED_VALUE"""),"時習館高")</f>
        <v>時習館高</v>
      </c>
      <c r="C188" s="2" t="e">
        <f ca="1"/>
        <v>#N/A</v>
      </c>
      <c r="D188" s="2" t="e">
        <f ca="1"/>
        <v>#REF!</v>
      </c>
      <c r="E188" s="29" t="e">
        <f ca="1"/>
        <v>#REF!</v>
      </c>
      <c r="F188" s="30" t="e">
        <f ca="1"/>
        <v>#REF!</v>
      </c>
      <c r="G188" s="29" t="e">
        <f ca="1"/>
        <v>#REF!</v>
      </c>
      <c r="H188" s="30" t="e">
        <f ca="1"/>
        <v>#REF!</v>
      </c>
      <c r="I188" s="29" t="e">
        <f ca="1"/>
        <v>#REF!</v>
      </c>
      <c r="J188" s="29" t="e">
        <f ca="1"/>
        <v>#REF!</v>
      </c>
      <c r="K188" s="29" t="e">
        <f ca="1"/>
        <v>#REF!</v>
      </c>
      <c r="L188" s="29" t="e">
        <f ca="1"/>
        <v>#REF!</v>
      </c>
      <c r="M188" s="29" t="e">
        <f ca="1"/>
        <v>#REF!</v>
      </c>
      <c r="N188" s="29" t="e">
        <f ca="1"/>
        <v>#REF!</v>
      </c>
      <c r="O188" s="2" t="e">
        <f ca="1"/>
        <v>#N/A</v>
      </c>
      <c r="P188" s="2" t="e">
        <f ca="1"/>
        <v>#N/A</v>
      </c>
      <c r="Q188" s="2" t="s">
        <v>5</v>
      </c>
      <c r="R188" s="2" t="s">
        <v>5</v>
      </c>
      <c r="U188" s="2"/>
      <c r="V188" s="2" t="s">
        <v>5</v>
      </c>
      <c r="W188" s="2" t="s">
        <v>5</v>
      </c>
      <c r="X188" s="29" t="s">
        <v>5</v>
      </c>
      <c r="Y188" s="30" t="s">
        <v>5</v>
      </c>
      <c r="Z188" s="29" t="s">
        <v>5</v>
      </c>
      <c r="AA188" s="30" t="s">
        <v>5</v>
      </c>
      <c r="AB188" s="29" t="s">
        <v>5</v>
      </c>
      <c r="AC188" s="29" t="s">
        <v>5</v>
      </c>
      <c r="AD188" s="29" t="s">
        <v>5</v>
      </c>
      <c r="AE188" s="29" t="s">
        <v>5</v>
      </c>
      <c r="AF188" s="29" t="s">
        <v>5</v>
      </c>
      <c r="AG188" s="29" t="s">
        <v>5</v>
      </c>
      <c r="AH188" s="2" t="s">
        <v>5</v>
      </c>
      <c r="AI188" s="2" t="s">
        <v>5</v>
      </c>
      <c r="AJ188" s="2" t="s">
        <v>5</v>
      </c>
      <c r="AK188" s="2" t="s">
        <v>5</v>
      </c>
    </row>
    <row r="189" spans="2:37" ht="12.5">
      <c r="B189" s="2" t="str">
        <f ca="1">IFERROR(__xludf.DUMMYFUNCTION("""COMPUTED_VALUE"""),"立命館高")</f>
        <v>立命館高</v>
      </c>
      <c r="C189" s="2" t="e">
        <f ca="1"/>
        <v>#N/A</v>
      </c>
      <c r="D189" s="2" t="e">
        <f ca="1"/>
        <v>#REF!</v>
      </c>
      <c r="E189" s="29" t="e">
        <f ca="1"/>
        <v>#REF!</v>
      </c>
      <c r="F189" s="30" t="e">
        <f ca="1"/>
        <v>#REF!</v>
      </c>
      <c r="G189" s="29" t="e">
        <f ca="1"/>
        <v>#REF!</v>
      </c>
      <c r="H189" s="30" t="e">
        <f ca="1"/>
        <v>#REF!</v>
      </c>
      <c r="I189" s="29" t="e">
        <f ca="1"/>
        <v>#REF!</v>
      </c>
      <c r="J189" s="29" t="e">
        <f ca="1"/>
        <v>#REF!</v>
      </c>
      <c r="K189" s="29" t="e">
        <f ca="1"/>
        <v>#REF!</v>
      </c>
      <c r="L189" s="29" t="e">
        <f ca="1"/>
        <v>#REF!</v>
      </c>
      <c r="M189" s="29" t="e">
        <f ca="1"/>
        <v>#REF!</v>
      </c>
      <c r="N189" s="29" t="e">
        <f ca="1"/>
        <v>#REF!</v>
      </c>
      <c r="O189" s="2" t="e">
        <f ca="1"/>
        <v>#N/A</v>
      </c>
      <c r="P189" s="2" t="e">
        <f ca="1"/>
        <v>#N/A</v>
      </c>
      <c r="Q189" s="2" t="s">
        <v>5</v>
      </c>
      <c r="R189" s="2" t="s">
        <v>5</v>
      </c>
      <c r="U189" s="2"/>
      <c r="V189" s="2" t="s">
        <v>5</v>
      </c>
      <c r="W189" s="2" t="s">
        <v>5</v>
      </c>
      <c r="X189" s="29" t="s">
        <v>5</v>
      </c>
      <c r="Y189" s="30" t="s">
        <v>5</v>
      </c>
      <c r="Z189" s="29" t="s">
        <v>5</v>
      </c>
      <c r="AA189" s="30" t="s">
        <v>5</v>
      </c>
      <c r="AB189" s="29" t="s">
        <v>5</v>
      </c>
      <c r="AC189" s="29" t="s">
        <v>5</v>
      </c>
      <c r="AD189" s="29" t="s">
        <v>5</v>
      </c>
      <c r="AE189" s="29" t="s">
        <v>5</v>
      </c>
      <c r="AF189" s="29" t="s">
        <v>5</v>
      </c>
      <c r="AG189" s="29" t="s">
        <v>5</v>
      </c>
      <c r="AH189" s="2" t="s">
        <v>5</v>
      </c>
      <c r="AI189" s="2" t="s">
        <v>5</v>
      </c>
      <c r="AJ189" s="2" t="s">
        <v>5</v>
      </c>
      <c r="AK189" s="2" t="s">
        <v>5</v>
      </c>
    </row>
    <row r="190" spans="2:37" ht="12.5">
      <c r="B190" s="2" t="str">
        <f ca="1">IFERROR(__xludf.DUMMYFUNCTION("""COMPUTED_VALUE"""),"吉賀高")</f>
        <v>吉賀高</v>
      </c>
      <c r="C190" s="2" t="e">
        <f ca="1"/>
        <v>#N/A</v>
      </c>
      <c r="D190" s="2" t="e">
        <f ca="1"/>
        <v>#REF!</v>
      </c>
      <c r="E190" s="29" t="e">
        <f ca="1"/>
        <v>#REF!</v>
      </c>
      <c r="F190" s="30" t="e">
        <f ca="1"/>
        <v>#REF!</v>
      </c>
      <c r="G190" s="29" t="e">
        <f ca="1"/>
        <v>#REF!</v>
      </c>
      <c r="H190" s="30" t="e">
        <f ca="1"/>
        <v>#REF!</v>
      </c>
      <c r="I190" s="29" t="e">
        <f ca="1"/>
        <v>#REF!</v>
      </c>
      <c r="J190" s="29" t="e">
        <f ca="1"/>
        <v>#REF!</v>
      </c>
      <c r="K190" s="29" t="e">
        <f ca="1"/>
        <v>#REF!</v>
      </c>
      <c r="L190" s="29" t="e">
        <f ca="1"/>
        <v>#REF!</v>
      </c>
      <c r="M190" s="29" t="e">
        <f ca="1"/>
        <v>#REF!</v>
      </c>
      <c r="N190" s="29" t="e">
        <f ca="1"/>
        <v>#REF!</v>
      </c>
      <c r="O190" s="2" t="e">
        <f ca="1"/>
        <v>#N/A</v>
      </c>
      <c r="P190" s="2" t="e">
        <f ca="1"/>
        <v>#N/A</v>
      </c>
      <c r="Q190" s="2" t="s">
        <v>5</v>
      </c>
      <c r="R190" s="2" t="s">
        <v>5</v>
      </c>
      <c r="U190" s="2"/>
      <c r="V190" s="2" t="s">
        <v>5</v>
      </c>
      <c r="W190" s="2" t="s">
        <v>5</v>
      </c>
      <c r="X190" s="29" t="s">
        <v>5</v>
      </c>
      <c r="Y190" s="30" t="s">
        <v>5</v>
      </c>
      <c r="Z190" s="29" t="s">
        <v>5</v>
      </c>
      <c r="AA190" s="30" t="s">
        <v>5</v>
      </c>
      <c r="AB190" s="29" t="s">
        <v>5</v>
      </c>
      <c r="AC190" s="29" t="s">
        <v>5</v>
      </c>
      <c r="AD190" s="29" t="s">
        <v>5</v>
      </c>
      <c r="AE190" s="29" t="s">
        <v>5</v>
      </c>
      <c r="AF190" s="29" t="s">
        <v>5</v>
      </c>
      <c r="AG190" s="29" t="s">
        <v>5</v>
      </c>
      <c r="AH190" s="2" t="s">
        <v>5</v>
      </c>
      <c r="AI190" s="2" t="s">
        <v>5</v>
      </c>
      <c r="AJ190" s="2" t="s">
        <v>5</v>
      </c>
      <c r="AK190" s="2" t="s">
        <v>5</v>
      </c>
    </row>
    <row r="191" spans="2:37" ht="12.5">
      <c r="B191" s="2" t="str">
        <f ca="1">IFERROR(__xludf.DUMMYFUNCTION("""COMPUTED_VALUE"""),"福岡舞鶴高")</f>
        <v>福岡舞鶴高</v>
      </c>
      <c r="C191" s="2" t="e">
        <f ca="1"/>
        <v>#N/A</v>
      </c>
      <c r="D191" s="2" t="e">
        <f ca="1"/>
        <v>#REF!</v>
      </c>
      <c r="E191" s="29" t="e">
        <f ca="1"/>
        <v>#REF!</v>
      </c>
      <c r="F191" s="30" t="e">
        <f ca="1"/>
        <v>#REF!</v>
      </c>
      <c r="G191" s="29" t="e">
        <f ca="1"/>
        <v>#REF!</v>
      </c>
      <c r="H191" s="30" t="e">
        <f ca="1"/>
        <v>#REF!</v>
      </c>
      <c r="I191" s="29" t="e">
        <f ca="1"/>
        <v>#REF!</v>
      </c>
      <c r="J191" s="29" t="e">
        <f ca="1"/>
        <v>#REF!</v>
      </c>
      <c r="K191" s="29" t="e">
        <f ca="1"/>
        <v>#REF!</v>
      </c>
      <c r="L191" s="29" t="e">
        <f ca="1"/>
        <v>#REF!</v>
      </c>
      <c r="M191" s="29" t="e">
        <f ca="1"/>
        <v>#REF!</v>
      </c>
      <c r="N191" s="29" t="e">
        <f ca="1"/>
        <v>#REF!</v>
      </c>
      <c r="O191" s="2" t="e">
        <f ca="1"/>
        <v>#N/A</v>
      </c>
      <c r="P191" s="2" t="e">
        <f ca="1"/>
        <v>#N/A</v>
      </c>
      <c r="Q191" s="2" t="s">
        <v>5</v>
      </c>
      <c r="R191" s="2" t="s">
        <v>5</v>
      </c>
      <c r="U191" s="2"/>
      <c r="V191" s="2" t="s">
        <v>5</v>
      </c>
      <c r="W191" s="2" t="s">
        <v>5</v>
      </c>
      <c r="X191" s="29" t="s">
        <v>5</v>
      </c>
      <c r="Y191" s="30" t="s">
        <v>5</v>
      </c>
      <c r="Z191" s="29" t="s">
        <v>5</v>
      </c>
      <c r="AA191" s="30" t="s">
        <v>5</v>
      </c>
      <c r="AB191" s="29" t="s">
        <v>5</v>
      </c>
      <c r="AC191" s="29" t="s">
        <v>5</v>
      </c>
      <c r="AD191" s="29" t="s">
        <v>5</v>
      </c>
      <c r="AE191" s="29" t="s">
        <v>5</v>
      </c>
      <c r="AF191" s="29" t="s">
        <v>5</v>
      </c>
      <c r="AG191" s="29" t="s">
        <v>5</v>
      </c>
      <c r="AH191" s="2" t="s">
        <v>5</v>
      </c>
      <c r="AI191" s="2" t="s">
        <v>5</v>
      </c>
      <c r="AJ191" s="2" t="s">
        <v>5</v>
      </c>
      <c r="AK191" s="2" t="s">
        <v>5</v>
      </c>
    </row>
    <row r="192" spans="2:37" ht="12.5">
      <c r="B192" s="2" t="str">
        <f ca="1">IFERROR(__xludf.DUMMYFUNCTION("""COMPUTED_VALUE"""),"八千代松陰高")</f>
        <v>八千代松陰高</v>
      </c>
      <c r="C192" s="2" t="e">
        <f ca="1"/>
        <v>#N/A</v>
      </c>
      <c r="D192" s="2" t="e">
        <f ca="1"/>
        <v>#REF!</v>
      </c>
      <c r="E192" s="29" t="e">
        <f ca="1"/>
        <v>#REF!</v>
      </c>
      <c r="F192" s="30" t="e">
        <f ca="1"/>
        <v>#REF!</v>
      </c>
      <c r="G192" s="29" t="e">
        <f ca="1"/>
        <v>#REF!</v>
      </c>
      <c r="H192" s="30" t="e">
        <f ca="1"/>
        <v>#REF!</v>
      </c>
      <c r="I192" s="29" t="e">
        <f ca="1"/>
        <v>#REF!</v>
      </c>
      <c r="J192" s="29" t="e">
        <f ca="1"/>
        <v>#REF!</v>
      </c>
      <c r="K192" s="29" t="e">
        <f ca="1"/>
        <v>#REF!</v>
      </c>
      <c r="L192" s="29" t="e">
        <f ca="1"/>
        <v>#REF!</v>
      </c>
      <c r="M192" s="29" t="e">
        <f ca="1"/>
        <v>#REF!</v>
      </c>
      <c r="N192" s="29" t="e">
        <f ca="1"/>
        <v>#REF!</v>
      </c>
      <c r="O192" s="2" t="e">
        <f ca="1"/>
        <v>#N/A</v>
      </c>
      <c r="P192" s="2" t="e">
        <f ca="1"/>
        <v>#N/A</v>
      </c>
      <c r="Q192" s="2" t="s">
        <v>5</v>
      </c>
      <c r="R192" s="2" t="s">
        <v>5</v>
      </c>
      <c r="U192" s="2"/>
      <c r="V192" s="2" t="s">
        <v>5</v>
      </c>
      <c r="W192" s="2" t="s">
        <v>5</v>
      </c>
      <c r="X192" s="29" t="s">
        <v>5</v>
      </c>
      <c r="Y192" s="30" t="s">
        <v>5</v>
      </c>
      <c r="Z192" s="29" t="s">
        <v>5</v>
      </c>
      <c r="AA192" s="30" t="s">
        <v>5</v>
      </c>
      <c r="AB192" s="29" t="s">
        <v>5</v>
      </c>
      <c r="AC192" s="29" t="s">
        <v>5</v>
      </c>
      <c r="AD192" s="29" t="s">
        <v>5</v>
      </c>
      <c r="AE192" s="29" t="s">
        <v>5</v>
      </c>
      <c r="AF192" s="29" t="s">
        <v>5</v>
      </c>
      <c r="AG192" s="29" t="s">
        <v>5</v>
      </c>
      <c r="AH192" s="2" t="s">
        <v>5</v>
      </c>
      <c r="AI192" s="2" t="s">
        <v>5</v>
      </c>
      <c r="AJ192" s="2" t="s">
        <v>5</v>
      </c>
      <c r="AK192" s="2" t="s">
        <v>5</v>
      </c>
    </row>
    <row r="193" spans="2:37" ht="12.5">
      <c r="B193" s="2" t="str">
        <f ca="1">IFERROR(__xludf.DUMMYFUNCTION("""COMPUTED_VALUE"""),"豊丘高")</f>
        <v>豊丘高</v>
      </c>
      <c r="C193" s="2" t="e">
        <f ca="1"/>
        <v>#N/A</v>
      </c>
      <c r="D193" s="2" t="e">
        <f ca="1"/>
        <v>#REF!</v>
      </c>
      <c r="E193" s="29" t="e">
        <f ca="1"/>
        <v>#REF!</v>
      </c>
      <c r="F193" s="30" t="e">
        <f ca="1"/>
        <v>#REF!</v>
      </c>
      <c r="G193" s="29" t="e">
        <f ca="1"/>
        <v>#REF!</v>
      </c>
      <c r="H193" s="30" t="e">
        <f ca="1"/>
        <v>#REF!</v>
      </c>
      <c r="I193" s="29" t="e">
        <f ca="1"/>
        <v>#REF!</v>
      </c>
      <c r="J193" s="29" t="e">
        <f ca="1"/>
        <v>#REF!</v>
      </c>
      <c r="K193" s="29" t="e">
        <f ca="1"/>
        <v>#REF!</v>
      </c>
      <c r="L193" s="29" t="e">
        <f ca="1"/>
        <v>#REF!</v>
      </c>
      <c r="M193" s="29" t="e">
        <f ca="1"/>
        <v>#REF!</v>
      </c>
      <c r="N193" s="29" t="e">
        <f ca="1"/>
        <v>#REF!</v>
      </c>
      <c r="O193" s="2" t="e">
        <f ca="1"/>
        <v>#N/A</v>
      </c>
      <c r="P193" s="2" t="e">
        <f ca="1"/>
        <v>#N/A</v>
      </c>
      <c r="Q193" s="2" t="s">
        <v>5</v>
      </c>
      <c r="R193" s="2" t="s">
        <v>5</v>
      </c>
      <c r="U193" s="2"/>
      <c r="V193" s="2" t="s">
        <v>5</v>
      </c>
      <c r="W193" s="2" t="s">
        <v>5</v>
      </c>
      <c r="X193" s="29" t="s">
        <v>5</v>
      </c>
      <c r="Y193" s="30" t="s">
        <v>5</v>
      </c>
      <c r="Z193" s="29" t="s">
        <v>5</v>
      </c>
      <c r="AA193" s="30" t="s">
        <v>5</v>
      </c>
      <c r="AB193" s="29" t="s">
        <v>5</v>
      </c>
      <c r="AC193" s="29" t="s">
        <v>5</v>
      </c>
      <c r="AD193" s="29" t="s">
        <v>5</v>
      </c>
      <c r="AE193" s="29" t="s">
        <v>5</v>
      </c>
      <c r="AF193" s="29" t="s">
        <v>5</v>
      </c>
      <c r="AG193" s="29" t="s">
        <v>5</v>
      </c>
      <c r="AH193" s="2" t="s">
        <v>5</v>
      </c>
      <c r="AI193" s="2" t="s">
        <v>5</v>
      </c>
      <c r="AJ193" s="2" t="s">
        <v>5</v>
      </c>
      <c r="AK193" s="2" t="s">
        <v>5</v>
      </c>
    </row>
    <row r="194" spans="2:37" ht="12.5">
      <c r="B194" s="2" t="str">
        <f ca="1">IFERROR(__xludf.DUMMYFUNCTION("""COMPUTED_VALUE"""),"久留米高")</f>
        <v>久留米高</v>
      </c>
      <c r="C194" s="2" t="e">
        <f ca="1"/>
        <v>#N/A</v>
      </c>
      <c r="D194" s="2" t="e">
        <f ca="1"/>
        <v>#REF!</v>
      </c>
      <c r="E194" s="29" t="e">
        <f ca="1"/>
        <v>#REF!</v>
      </c>
      <c r="F194" s="30" t="e">
        <f ca="1"/>
        <v>#REF!</v>
      </c>
      <c r="G194" s="29" t="e">
        <f ca="1"/>
        <v>#REF!</v>
      </c>
      <c r="H194" s="30" t="e">
        <f ca="1"/>
        <v>#REF!</v>
      </c>
      <c r="I194" s="29" t="e">
        <f ca="1"/>
        <v>#REF!</v>
      </c>
      <c r="J194" s="29" t="e">
        <f ca="1"/>
        <v>#REF!</v>
      </c>
      <c r="K194" s="29" t="e">
        <f ca="1"/>
        <v>#REF!</v>
      </c>
      <c r="L194" s="29" t="e">
        <f ca="1"/>
        <v>#REF!</v>
      </c>
      <c r="M194" s="29" t="e">
        <f ca="1"/>
        <v>#REF!</v>
      </c>
      <c r="N194" s="29" t="e">
        <f ca="1"/>
        <v>#REF!</v>
      </c>
      <c r="O194" s="2" t="e">
        <f ca="1"/>
        <v>#N/A</v>
      </c>
      <c r="P194" s="2" t="e">
        <f ca="1"/>
        <v>#N/A</v>
      </c>
      <c r="Q194" s="2" t="s">
        <v>5</v>
      </c>
      <c r="R194" s="2" t="s">
        <v>5</v>
      </c>
      <c r="U194" s="2"/>
      <c r="V194" s="2" t="s">
        <v>5</v>
      </c>
      <c r="W194" s="2" t="s">
        <v>5</v>
      </c>
      <c r="X194" s="29" t="s">
        <v>5</v>
      </c>
      <c r="Y194" s="30" t="s">
        <v>5</v>
      </c>
      <c r="Z194" s="29" t="s">
        <v>5</v>
      </c>
      <c r="AA194" s="30" t="s">
        <v>5</v>
      </c>
      <c r="AB194" s="29" t="s">
        <v>5</v>
      </c>
      <c r="AC194" s="29" t="s">
        <v>5</v>
      </c>
      <c r="AD194" s="29" t="s">
        <v>5</v>
      </c>
      <c r="AE194" s="29" t="s">
        <v>5</v>
      </c>
      <c r="AF194" s="29" t="s">
        <v>5</v>
      </c>
      <c r="AG194" s="29" t="s">
        <v>5</v>
      </c>
      <c r="AH194" s="2" t="s">
        <v>5</v>
      </c>
      <c r="AI194" s="2" t="s">
        <v>5</v>
      </c>
      <c r="AJ194" s="2" t="s">
        <v>5</v>
      </c>
      <c r="AK194" s="2" t="s">
        <v>5</v>
      </c>
    </row>
    <row r="195" spans="2:37" ht="12.5">
      <c r="B195" s="2" t="str">
        <f ca="1">IFERROR(__xludf.DUMMYFUNCTION("""COMPUTED_VALUE"""),"佐賀西高")</f>
        <v>佐賀西高</v>
      </c>
      <c r="C195" s="2" t="e">
        <f ca="1"/>
        <v>#N/A</v>
      </c>
      <c r="D195" s="2" t="e">
        <f ca="1"/>
        <v>#REF!</v>
      </c>
      <c r="E195" s="29" t="e">
        <f ca="1"/>
        <v>#REF!</v>
      </c>
      <c r="F195" s="30" t="e">
        <f ca="1"/>
        <v>#REF!</v>
      </c>
      <c r="G195" s="29" t="e">
        <f ca="1"/>
        <v>#REF!</v>
      </c>
      <c r="H195" s="30" t="e">
        <f ca="1"/>
        <v>#REF!</v>
      </c>
      <c r="I195" s="29" t="e">
        <f ca="1"/>
        <v>#REF!</v>
      </c>
      <c r="J195" s="29" t="e">
        <f ca="1"/>
        <v>#REF!</v>
      </c>
      <c r="K195" s="29" t="e">
        <f ca="1"/>
        <v>#REF!</v>
      </c>
      <c r="L195" s="29" t="e">
        <f ca="1"/>
        <v>#REF!</v>
      </c>
      <c r="M195" s="29" t="e">
        <f ca="1"/>
        <v>#REF!</v>
      </c>
      <c r="N195" s="29" t="e">
        <f ca="1"/>
        <v>#REF!</v>
      </c>
      <c r="O195" s="2" t="e">
        <f ca="1"/>
        <v>#N/A</v>
      </c>
      <c r="P195" s="2" t="e">
        <f ca="1"/>
        <v>#N/A</v>
      </c>
      <c r="Q195" s="2" t="s">
        <v>5</v>
      </c>
      <c r="R195" s="2" t="s">
        <v>5</v>
      </c>
      <c r="U195" s="2"/>
      <c r="V195" s="2" t="s">
        <v>5</v>
      </c>
      <c r="W195" s="2" t="s">
        <v>5</v>
      </c>
      <c r="X195" s="29" t="s">
        <v>5</v>
      </c>
      <c r="Y195" s="30" t="s">
        <v>5</v>
      </c>
      <c r="Z195" s="29" t="s">
        <v>5</v>
      </c>
      <c r="AA195" s="30" t="s">
        <v>5</v>
      </c>
      <c r="AB195" s="29" t="s">
        <v>5</v>
      </c>
      <c r="AC195" s="29" t="s">
        <v>5</v>
      </c>
      <c r="AD195" s="29" t="s">
        <v>5</v>
      </c>
      <c r="AE195" s="29" t="s">
        <v>5</v>
      </c>
      <c r="AF195" s="29" t="s">
        <v>5</v>
      </c>
      <c r="AG195" s="29" t="s">
        <v>5</v>
      </c>
      <c r="AH195" s="2" t="s">
        <v>5</v>
      </c>
      <c r="AI195" s="2" t="s">
        <v>5</v>
      </c>
      <c r="AJ195" s="2" t="s">
        <v>5</v>
      </c>
      <c r="AK195" s="2" t="s">
        <v>5</v>
      </c>
    </row>
    <row r="196" spans="2:37" ht="12.5">
      <c r="B196" s="2" t="str">
        <f ca="1">IFERROR(__xludf.DUMMYFUNCTION("""COMPUTED_VALUE"""),"会津高")</f>
        <v>会津高</v>
      </c>
      <c r="C196" s="2" t="e">
        <f ca="1"/>
        <v>#N/A</v>
      </c>
      <c r="D196" s="2" t="e">
        <f ca="1"/>
        <v>#REF!</v>
      </c>
      <c r="E196" s="29" t="e">
        <f ca="1"/>
        <v>#REF!</v>
      </c>
      <c r="F196" s="30" t="e">
        <f ca="1"/>
        <v>#REF!</v>
      </c>
      <c r="G196" s="29" t="e">
        <f ca="1"/>
        <v>#REF!</v>
      </c>
      <c r="H196" s="30" t="e">
        <f ca="1"/>
        <v>#REF!</v>
      </c>
      <c r="I196" s="29" t="e">
        <f ca="1"/>
        <v>#REF!</v>
      </c>
      <c r="J196" s="29" t="e">
        <f ca="1"/>
        <v>#REF!</v>
      </c>
      <c r="K196" s="29" t="e">
        <f ca="1"/>
        <v>#REF!</v>
      </c>
      <c r="L196" s="29" t="e">
        <f ca="1"/>
        <v>#REF!</v>
      </c>
      <c r="M196" s="29" t="e">
        <f ca="1"/>
        <v>#REF!</v>
      </c>
      <c r="N196" s="29" t="e">
        <f ca="1"/>
        <v>#REF!</v>
      </c>
      <c r="O196" s="2" t="e">
        <f ca="1"/>
        <v>#N/A</v>
      </c>
      <c r="P196" s="2" t="e">
        <f ca="1"/>
        <v>#N/A</v>
      </c>
      <c r="Q196" s="2" t="s">
        <v>5</v>
      </c>
      <c r="R196" s="2" t="s">
        <v>5</v>
      </c>
      <c r="U196" s="2"/>
      <c r="V196" s="2" t="s">
        <v>5</v>
      </c>
      <c r="W196" s="2" t="s">
        <v>5</v>
      </c>
      <c r="X196" s="29" t="s">
        <v>5</v>
      </c>
      <c r="Y196" s="30" t="s">
        <v>5</v>
      </c>
      <c r="Z196" s="29" t="s">
        <v>5</v>
      </c>
      <c r="AA196" s="30" t="s">
        <v>5</v>
      </c>
      <c r="AB196" s="29" t="s">
        <v>5</v>
      </c>
      <c r="AC196" s="29" t="s">
        <v>5</v>
      </c>
      <c r="AD196" s="29" t="s">
        <v>5</v>
      </c>
      <c r="AE196" s="29" t="s">
        <v>5</v>
      </c>
      <c r="AF196" s="29" t="s">
        <v>5</v>
      </c>
      <c r="AG196" s="29" t="s">
        <v>5</v>
      </c>
      <c r="AH196" s="2" t="s">
        <v>5</v>
      </c>
      <c r="AI196" s="2" t="s">
        <v>5</v>
      </c>
      <c r="AJ196" s="2" t="s">
        <v>5</v>
      </c>
      <c r="AK196" s="2" t="s">
        <v>5</v>
      </c>
    </row>
    <row r="197" spans="2:37" ht="12.5">
      <c r="B197" s="2" t="str">
        <f ca="1">IFERROR(__xludf.DUMMYFUNCTION("""COMPUTED_VALUE"""),"宇都宮中央高")</f>
        <v>宇都宮中央高</v>
      </c>
      <c r="C197" s="2" t="e">
        <f ca="1"/>
        <v>#N/A</v>
      </c>
      <c r="D197" s="2" t="e">
        <f ca="1"/>
        <v>#REF!</v>
      </c>
      <c r="E197" s="29" t="e">
        <f ca="1"/>
        <v>#REF!</v>
      </c>
      <c r="F197" s="30" t="e">
        <f ca="1"/>
        <v>#REF!</v>
      </c>
      <c r="G197" s="29" t="e">
        <f ca="1"/>
        <v>#REF!</v>
      </c>
      <c r="H197" s="30" t="e">
        <f ca="1"/>
        <v>#REF!</v>
      </c>
      <c r="I197" s="29" t="e">
        <f ca="1"/>
        <v>#REF!</v>
      </c>
      <c r="J197" s="29" t="e">
        <f ca="1"/>
        <v>#REF!</v>
      </c>
      <c r="K197" s="29" t="e">
        <f ca="1"/>
        <v>#REF!</v>
      </c>
      <c r="L197" s="29" t="e">
        <f ca="1"/>
        <v>#REF!</v>
      </c>
      <c r="M197" s="29" t="e">
        <f ca="1"/>
        <v>#REF!</v>
      </c>
      <c r="N197" s="29" t="e">
        <f ca="1"/>
        <v>#REF!</v>
      </c>
      <c r="O197" s="2" t="e">
        <f ca="1"/>
        <v>#N/A</v>
      </c>
      <c r="P197" s="2" t="e">
        <f ca="1"/>
        <v>#N/A</v>
      </c>
      <c r="Q197" s="2" t="s">
        <v>5</v>
      </c>
      <c r="R197" s="2" t="s">
        <v>5</v>
      </c>
      <c r="U197" s="2"/>
      <c r="V197" s="2" t="s">
        <v>5</v>
      </c>
      <c r="W197" s="2" t="s">
        <v>5</v>
      </c>
      <c r="X197" s="29" t="s">
        <v>5</v>
      </c>
      <c r="Y197" s="30" t="s">
        <v>5</v>
      </c>
      <c r="Z197" s="29" t="s">
        <v>5</v>
      </c>
      <c r="AA197" s="30" t="s">
        <v>5</v>
      </c>
      <c r="AB197" s="29" t="s">
        <v>5</v>
      </c>
      <c r="AC197" s="29" t="s">
        <v>5</v>
      </c>
      <c r="AD197" s="29" t="s">
        <v>5</v>
      </c>
      <c r="AE197" s="29" t="s">
        <v>5</v>
      </c>
      <c r="AF197" s="29" t="s">
        <v>5</v>
      </c>
      <c r="AG197" s="29" t="s">
        <v>5</v>
      </c>
      <c r="AH197" s="2" t="s">
        <v>5</v>
      </c>
      <c r="AI197" s="2" t="s">
        <v>5</v>
      </c>
      <c r="AJ197" s="2" t="s">
        <v>5</v>
      </c>
      <c r="AK197" s="2" t="s">
        <v>5</v>
      </c>
    </row>
    <row r="198" spans="2:37" ht="12.5">
      <c r="B198" s="2" t="str">
        <f ca="1">IFERROR(__xludf.DUMMYFUNCTION("""COMPUTED_VALUE"""),"幕張総合高")</f>
        <v>幕張総合高</v>
      </c>
      <c r="C198" s="2" t="e">
        <f ca="1"/>
        <v>#N/A</v>
      </c>
      <c r="D198" s="2" t="e">
        <f ca="1"/>
        <v>#REF!</v>
      </c>
      <c r="E198" s="29" t="e">
        <f ca="1"/>
        <v>#REF!</v>
      </c>
      <c r="F198" s="30" t="e">
        <f ca="1"/>
        <v>#REF!</v>
      </c>
      <c r="G198" s="29" t="e">
        <f ca="1"/>
        <v>#REF!</v>
      </c>
      <c r="H198" s="30" t="e">
        <f ca="1"/>
        <v>#REF!</v>
      </c>
      <c r="I198" s="29" t="e">
        <f ca="1"/>
        <v>#REF!</v>
      </c>
      <c r="J198" s="29" t="e">
        <f ca="1"/>
        <v>#REF!</v>
      </c>
      <c r="K198" s="29" t="e">
        <f ca="1"/>
        <v>#REF!</v>
      </c>
      <c r="L198" s="29" t="e">
        <f ca="1"/>
        <v>#REF!</v>
      </c>
      <c r="M198" s="29" t="e">
        <f ca="1"/>
        <v>#REF!</v>
      </c>
      <c r="N198" s="29" t="e">
        <f ca="1"/>
        <v>#REF!</v>
      </c>
      <c r="O198" s="2" t="e">
        <f ca="1"/>
        <v>#N/A</v>
      </c>
      <c r="P198" s="2" t="e">
        <f ca="1"/>
        <v>#N/A</v>
      </c>
      <c r="Q198" s="2" t="s">
        <v>5</v>
      </c>
      <c r="R198" s="2" t="s">
        <v>5</v>
      </c>
      <c r="U198" s="2"/>
      <c r="V198" s="2" t="s">
        <v>5</v>
      </c>
      <c r="W198" s="2" t="s">
        <v>5</v>
      </c>
      <c r="X198" s="29" t="s">
        <v>5</v>
      </c>
      <c r="Y198" s="30" t="s">
        <v>5</v>
      </c>
      <c r="Z198" s="29" t="s">
        <v>5</v>
      </c>
      <c r="AA198" s="30" t="s">
        <v>5</v>
      </c>
      <c r="AB198" s="29" t="s">
        <v>5</v>
      </c>
      <c r="AC198" s="29" t="s">
        <v>5</v>
      </c>
      <c r="AD198" s="29" t="s">
        <v>5</v>
      </c>
      <c r="AE198" s="29" t="s">
        <v>5</v>
      </c>
      <c r="AF198" s="29" t="s">
        <v>5</v>
      </c>
      <c r="AG198" s="29" t="s">
        <v>5</v>
      </c>
      <c r="AH198" s="2" t="s">
        <v>5</v>
      </c>
      <c r="AI198" s="2" t="s">
        <v>5</v>
      </c>
      <c r="AJ198" s="2" t="s">
        <v>5</v>
      </c>
      <c r="AK198" s="2" t="s">
        <v>5</v>
      </c>
    </row>
    <row r="199" spans="2:37" ht="12.5">
      <c r="B199" s="2" t="str">
        <f ca="1">IFERROR(__xludf.DUMMYFUNCTION("""COMPUTED_VALUE"""),"横浜立野高")</f>
        <v>横浜立野高</v>
      </c>
      <c r="C199" s="2" t="e">
        <f ca="1"/>
        <v>#N/A</v>
      </c>
      <c r="D199" s="2" t="e">
        <f ca="1"/>
        <v>#REF!</v>
      </c>
      <c r="E199" s="29" t="e">
        <f ca="1"/>
        <v>#REF!</v>
      </c>
      <c r="F199" s="30" t="e">
        <f ca="1"/>
        <v>#REF!</v>
      </c>
      <c r="G199" s="29" t="e">
        <f ca="1"/>
        <v>#REF!</v>
      </c>
      <c r="H199" s="30" t="e">
        <f ca="1"/>
        <v>#REF!</v>
      </c>
      <c r="I199" s="29" t="e">
        <f ca="1"/>
        <v>#REF!</v>
      </c>
      <c r="J199" s="29" t="e">
        <f ca="1"/>
        <v>#REF!</v>
      </c>
      <c r="K199" s="29" t="e">
        <f ca="1"/>
        <v>#REF!</v>
      </c>
      <c r="L199" s="29" t="e">
        <f ca="1"/>
        <v>#REF!</v>
      </c>
      <c r="M199" s="29" t="e">
        <f ca="1"/>
        <v>#REF!</v>
      </c>
      <c r="N199" s="29" t="e">
        <f ca="1"/>
        <v>#REF!</v>
      </c>
      <c r="O199" s="2" t="e">
        <f ca="1"/>
        <v>#N/A</v>
      </c>
      <c r="P199" s="2" t="e">
        <f ca="1"/>
        <v>#N/A</v>
      </c>
      <c r="Q199" s="2" t="s">
        <v>5</v>
      </c>
      <c r="R199" s="2" t="s">
        <v>5</v>
      </c>
      <c r="U199" s="2"/>
      <c r="V199" s="2" t="s">
        <v>5</v>
      </c>
      <c r="W199" s="2" t="s">
        <v>5</v>
      </c>
      <c r="X199" s="29" t="s">
        <v>5</v>
      </c>
      <c r="Y199" s="30" t="s">
        <v>5</v>
      </c>
      <c r="Z199" s="29" t="s">
        <v>5</v>
      </c>
      <c r="AA199" s="30" t="s">
        <v>5</v>
      </c>
      <c r="AB199" s="29" t="s">
        <v>5</v>
      </c>
      <c r="AC199" s="29" t="s">
        <v>5</v>
      </c>
      <c r="AD199" s="29" t="s">
        <v>5</v>
      </c>
      <c r="AE199" s="29" t="s">
        <v>5</v>
      </c>
      <c r="AF199" s="29" t="s">
        <v>5</v>
      </c>
      <c r="AG199" s="29" t="s">
        <v>5</v>
      </c>
      <c r="AH199" s="2" t="s">
        <v>5</v>
      </c>
      <c r="AI199" s="2" t="s">
        <v>5</v>
      </c>
      <c r="AJ199" s="2" t="s">
        <v>5</v>
      </c>
      <c r="AK199" s="2" t="s">
        <v>5</v>
      </c>
    </row>
    <row r="200" spans="2:37" ht="12.5">
      <c r="B200" s="2" t="str">
        <f ca="1">IFERROR(__xludf.DUMMYFUNCTION("""COMPUTED_VALUE"""),"法政大二高")</f>
        <v>法政大二高</v>
      </c>
      <c r="C200" s="2" t="e">
        <f ca="1"/>
        <v>#N/A</v>
      </c>
      <c r="D200" s="2" t="e">
        <f ca="1"/>
        <v>#REF!</v>
      </c>
      <c r="E200" s="29" t="e">
        <f ca="1"/>
        <v>#REF!</v>
      </c>
      <c r="F200" s="30" t="e">
        <f ca="1"/>
        <v>#REF!</v>
      </c>
      <c r="G200" s="29" t="e">
        <f ca="1"/>
        <v>#REF!</v>
      </c>
      <c r="H200" s="30" t="e">
        <f ca="1"/>
        <v>#REF!</v>
      </c>
      <c r="I200" s="29" t="e">
        <f ca="1"/>
        <v>#REF!</v>
      </c>
      <c r="J200" s="29" t="e">
        <f ca="1"/>
        <v>#REF!</v>
      </c>
      <c r="K200" s="29" t="e">
        <f ca="1"/>
        <v>#REF!</v>
      </c>
      <c r="L200" s="29" t="e">
        <f ca="1"/>
        <v>#REF!</v>
      </c>
      <c r="M200" s="29" t="e">
        <f ca="1"/>
        <v>#REF!</v>
      </c>
      <c r="N200" s="29" t="e">
        <f ca="1"/>
        <v>#REF!</v>
      </c>
      <c r="O200" s="2" t="e">
        <f ca="1"/>
        <v>#N/A</v>
      </c>
      <c r="P200" s="2" t="e">
        <f ca="1"/>
        <v>#N/A</v>
      </c>
      <c r="Q200" s="2" t="s">
        <v>5</v>
      </c>
      <c r="R200" s="2" t="s">
        <v>5</v>
      </c>
      <c r="U200" s="2"/>
      <c r="V200" s="2" t="s">
        <v>5</v>
      </c>
      <c r="W200" s="2" t="s">
        <v>5</v>
      </c>
      <c r="X200" s="29" t="s">
        <v>5</v>
      </c>
      <c r="Y200" s="30" t="s">
        <v>5</v>
      </c>
      <c r="Z200" s="29" t="s">
        <v>5</v>
      </c>
      <c r="AA200" s="30" t="s">
        <v>5</v>
      </c>
      <c r="AB200" s="29" t="s">
        <v>5</v>
      </c>
      <c r="AC200" s="29" t="s">
        <v>5</v>
      </c>
      <c r="AD200" s="29" t="s">
        <v>5</v>
      </c>
      <c r="AE200" s="29" t="s">
        <v>5</v>
      </c>
      <c r="AF200" s="29" t="s">
        <v>5</v>
      </c>
      <c r="AG200" s="29" t="s">
        <v>5</v>
      </c>
      <c r="AH200" s="2" t="s">
        <v>5</v>
      </c>
      <c r="AI200" s="2" t="s">
        <v>5</v>
      </c>
      <c r="AJ200" s="2" t="s">
        <v>5</v>
      </c>
      <c r="AK200" s="2" t="s">
        <v>5</v>
      </c>
    </row>
    <row r="201" spans="2:37" ht="12.5">
      <c r="B201" s="2" t="str">
        <f ca="1">IFERROR(__xludf.DUMMYFUNCTION("""COMPUTED_VALUE"""),"愛知高")</f>
        <v>愛知高</v>
      </c>
      <c r="C201" s="2" t="e">
        <f ca="1"/>
        <v>#N/A</v>
      </c>
      <c r="D201" s="2" t="e">
        <f ca="1"/>
        <v>#REF!</v>
      </c>
      <c r="E201" s="29" t="e">
        <f ca="1"/>
        <v>#REF!</v>
      </c>
      <c r="F201" s="30" t="e">
        <f ca="1"/>
        <v>#REF!</v>
      </c>
      <c r="G201" s="29" t="e">
        <f ca="1"/>
        <v>#REF!</v>
      </c>
      <c r="H201" s="30" t="e">
        <f ca="1"/>
        <v>#REF!</v>
      </c>
      <c r="I201" s="29" t="e">
        <f ca="1"/>
        <v>#REF!</v>
      </c>
      <c r="J201" s="29" t="e">
        <f ca="1"/>
        <v>#REF!</v>
      </c>
      <c r="K201" s="29" t="e">
        <f ca="1"/>
        <v>#REF!</v>
      </c>
      <c r="L201" s="29" t="e">
        <f ca="1"/>
        <v>#REF!</v>
      </c>
      <c r="M201" s="29" t="e">
        <f ca="1"/>
        <v>#REF!</v>
      </c>
      <c r="N201" s="29" t="e">
        <f ca="1"/>
        <v>#REF!</v>
      </c>
      <c r="O201" s="2" t="e">
        <f ca="1"/>
        <v>#N/A</v>
      </c>
      <c r="P201" s="2" t="e">
        <f ca="1"/>
        <v>#N/A</v>
      </c>
      <c r="Q201" s="2" t="s">
        <v>5</v>
      </c>
      <c r="R201" s="2" t="s">
        <v>5</v>
      </c>
      <c r="U201" s="2"/>
      <c r="V201" s="2" t="s">
        <v>5</v>
      </c>
      <c r="W201" s="2" t="s">
        <v>5</v>
      </c>
      <c r="X201" s="29" t="s">
        <v>5</v>
      </c>
      <c r="Y201" s="30" t="s">
        <v>5</v>
      </c>
      <c r="Z201" s="29" t="s">
        <v>5</v>
      </c>
      <c r="AA201" s="30" t="s">
        <v>5</v>
      </c>
      <c r="AB201" s="29" t="s">
        <v>5</v>
      </c>
      <c r="AC201" s="29" t="s">
        <v>5</v>
      </c>
      <c r="AD201" s="29" t="s">
        <v>5</v>
      </c>
      <c r="AE201" s="29" t="s">
        <v>5</v>
      </c>
      <c r="AF201" s="29" t="s">
        <v>5</v>
      </c>
      <c r="AG201" s="29" t="s">
        <v>5</v>
      </c>
      <c r="AH201" s="2" t="s">
        <v>5</v>
      </c>
      <c r="AI201" s="2" t="s">
        <v>5</v>
      </c>
      <c r="AJ201" s="2" t="s">
        <v>5</v>
      </c>
      <c r="AK201" s="2" t="s">
        <v>5</v>
      </c>
    </row>
    <row r="202" spans="2:37" ht="12.5">
      <c r="B202" s="2" t="str">
        <f ca="1">IFERROR(__xludf.DUMMYFUNCTION("""COMPUTED_VALUE"""),"北嵯峨高")</f>
        <v>北嵯峨高</v>
      </c>
      <c r="C202" s="2" t="e">
        <f ca="1"/>
        <v>#N/A</v>
      </c>
      <c r="D202" s="2" t="e">
        <f ca="1"/>
        <v>#REF!</v>
      </c>
      <c r="E202" s="29" t="e">
        <f ca="1"/>
        <v>#REF!</v>
      </c>
      <c r="F202" s="30" t="e">
        <f ca="1"/>
        <v>#REF!</v>
      </c>
      <c r="G202" s="29" t="e">
        <f ca="1"/>
        <v>#REF!</v>
      </c>
      <c r="H202" s="30" t="e">
        <f ca="1"/>
        <v>#REF!</v>
      </c>
      <c r="I202" s="29" t="e">
        <f ca="1"/>
        <v>#REF!</v>
      </c>
      <c r="J202" s="29" t="e">
        <f ca="1"/>
        <v>#REF!</v>
      </c>
      <c r="K202" s="29" t="e">
        <f ca="1"/>
        <v>#REF!</v>
      </c>
      <c r="L202" s="29" t="e">
        <f ca="1"/>
        <v>#REF!</v>
      </c>
      <c r="M202" s="29" t="e">
        <f ca="1"/>
        <v>#REF!</v>
      </c>
      <c r="N202" s="29" t="e">
        <f ca="1"/>
        <v>#REF!</v>
      </c>
      <c r="O202" s="2" t="e">
        <f ca="1"/>
        <v>#N/A</v>
      </c>
      <c r="P202" s="2" t="e">
        <f ca="1"/>
        <v>#N/A</v>
      </c>
      <c r="Q202" s="2" t="s">
        <v>5</v>
      </c>
      <c r="R202" s="2" t="s">
        <v>5</v>
      </c>
      <c r="U202" s="2"/>
      <c r="V202" s="2" t="s">
        <v>5</v>
      </c>
      <c r="W202" s="2" t="s">
        <v>5</v>
      </c>
      <c r="X202" s="29" t="s">
        <v>5</v>
      </c>
      <c r="Y202" s="30" t="s">
        <v>5</v>
      </c>
      <c r="Z202" s="29" t="s">
        <v>5</v>
      </c>
      <c r="AA202" s="30" t="s">
        <v>5</v>
      </c>
      <c r="AB202" s="29" t="s">
        <v>5</v>
      </c>
      <c r="AC202" s="29" t="s">
        <v>5</v>
      </c>
      <c r="AD202" s="29" t="s">
        <v>5</v>
      </c>
      <c r="AE202" s="29" t="s">
        <v>5</v>
      </c>
      <c r="AF202" s="29" t="s">
        <v>5</v>
      </c>
      <c r="AG202" s="29" t="s">
        <v>5</v>
      </c>
      <c r="AH202" s="2" t="s">
        <v>5</v>
      </c>
      <c r="AI202" s="2" t="s">
        <v>5</v>
      </c>
      <c r="AJ202" s="2" t="s">
        <v>5</v>
      </c>
      <c r="AK202" s="2" t="s">
        <v>5</v>
      </c>
    </row>
    <row r="203" spans="2:37" ht="12.5">
      <c r="B203" s="2" t="str">
        <f ca="1">IFERROR(__xludf.DUMMYFUNCTION("""COMPUTED_VALUE"""),"クラーク高")</f>
        <v>クラーク高</v>
      </c>
      <c r="C203" s="2" t="e">
        <f ca="1"/>
        <v>#N/A</v>
      </c>
      <c r="D203" s="2" t="e">
        <f ca="1"/>
        <v>#REF!</v>
      </c>
      <c r="E203" s="29" t="e">
        <f ca="1"/>
        <v>#REF!</v>
      </c>
      <c r="F203" s="30" t="e">
        <f ca="1"/>
        <v>#REF!</v>
      </c>
      <c r="G203" s="29" t="e">
        <f ca="1"/>
        <v>#REF!</v>
      </c>
      <c r="H203" s="30" t="e">
        <f ca="1"/>
        <v>#REF!</v>
      </c>
      <c r="I203" s="29" t="e">
        <f ca="1"/>
        <v>#REF!</v>
      </c>
      <c r="J203" s="29" t="e">
        <f ca="1"/>
        <v>#REF!</v>
      </c>
      <c r="K203" s="29" t="e">
        <f ca="1"/>
        <v>#REF!</v>
      </c>
      <c r="L203" s="29" t="e">
        <f ca="1"/>
        <v>#REF!</v>
      </c>
      <c r="M203" s="29" t="e">
        <f ca="1"/>
        <v>#REF!</v>
      </c>
      <c r="N203" s="29" t="e">
        <f ca="1"/>
        <v>#REF!</v>
      </c>
      <c r="O203" s="2" t="e">
        <f ca="1"/>
        <v>#N/A</v>
      </c>
      <c r="P203" s="2" t="e">
        <f ca="1"/>
        <v>#N/A</v>
      </c>
      <c r="Q203" s="2" t="s">
        <v>5</v>
      </c>
      <c r="R203" s="2" t="s">
        <v>5</v>
      </c>
      <c r="U203" s="2"/>
      <c r="V203" s="2" t="s">
        <v>5</v>
      </c>
      <c r="W203" s="2" t="s">
        <v>5</v>
      </c>
      <c r="X203" s="29" t="s">
        <v>5</v>
      </c>
      <c r="Y203" s="30" t="s">
        <v>5</v>
      </c>
      <c r="Z203" s="29" t="s">
        <v>5</v>
      </c>
      <c r="AA203" s="30" t="s">
        <v>5</v>
      </c>
      <c r="AB203" s="29" t="s">
        <v>5</v>
      </c>
      <c r="AC203" s="29" t="s">
        <v>5</v>
      </c>
      <c r="AD203" s="29" t="s">
        <v>5</v>
      </c>
      <c r="AE203" s="29" t="s">
        <v>5</v>
      </c>
      <c r="AF203" s="29" t="s">
        <v>5</v>
      </c>
      <c r="AG203" s="29" t="s">
        <v>5</v>
      </c>
      <c r="AH203" s="2" t="s">
        <v>5</v>
      </c>
      <c r="AI203" s="2" t="s">
        <v>5</v>
      </c>
      <c r="AJ203" s="2" t="s">
        <v>5</v>
      </c>
      <c r="AK203" s="2" t="s">
        <v>5</v>
      </c>
    </row>
    <row r="204" spans="2:37" ht="12.5">
      <c r="B204" s="2" t="str">
        <f ca="1">IFERROR(__xludf.DUMMYFUNCTION("""COMPUTED_VALUE"""),"生野高")</f>
        <v>生野高</v>
      </c>
      <c r="C204" s="2" t="e">
        <f ca="1"/>
        <v>#N/A</v>
      </c>
      <c r="D204" s="2" t="e">
        <f ca="1"/>
        <v>#REF!</v>
      </c>
      <c r="E204" s="29" t="e">
        <f ca="1"/>
        <v>#REF!</v>
      </c>
      <c r="F204" s="30" t="e">
        <f ca="1"/>
        <v>#REF!</v>
      </c>
      <c r="G204" s="29" t="e">
        <f ca="1"/>
        <v>#REF!</v>
      </c>
      <c r="H204" s="30" t="e">
        <f ca="1"/>
        <v>#REF!</v>
      </c>
      <c r="I204" s="29" t="e">
        <f ca="1"/>
        <v>#REF!</v>
      </c>
      <c r="J204" s="29" t="e">
        <f ca="1"/>
        <v>#REF!</v>
      </c>
      <c r="K204" s="29" t="e">
        <f ca="1"/>
        <v>#REF!</v>
      </c>
      <c r="L204" s="29" t="e">
        <f ca="1"/>
        <v>#REF!</v>
      </c>
      <c r="M204" s="29" t="e">
        <f ca="1"/>
        <v>#REF!</v>
      </c>
      <c r="N204" s="29" t="e">
        <f ca="1"/>
        <v>#REF!</v>
      </c>
      <c r="O204" s="2" t="e">
        <f ca="1"/>
        <v>#N/A</v>
      </c>
      <c r="P204" s="2" t="e">
        <f ca="1"/>
        <v>#N/A</v>
      </c>
      <c r="Q204" s="2" t="s">
        <v>5</v>
      </c>
      <c r="R204" s="2" t="s">
        <v>5</v>
      </c>
      <c r="U204" s="2"/>
      <c r="V204" s="2" t="s">
        <v>5</v>
      </c>
      <c r="W204" s="2" t="s">
        <v>5</v>
      </c>
      <c r="X204" s="29" t="s">
        <v>5</v>
      </c>
      <c r="Y204" s="30" t="s">
        <v>5</v>
      </c>
      <c r="Z204" s="29" t="s">
        <v>5</v>
      </c>
      <c r="AA204" s="30" t="s">
        <v>5</v>
      </c>
      <c r="AB204" s="29" t="s">
        <v>5</v>
      </c>
      <c r="AC204" s="29" t="s">
        <v>5</v>
      </c>
      <c r="AD204" s="29" t="s">
        <v>5</v>
      </c>
      <c r="AE204" s="29" t="s">
        <v>5</v>
      </c>
      <c r="AF204" s="29" t="s">
        <v>5</v>
      </c>
      <c r="AG204" s="29" t="s">
        <v>5</v>
      </c>
      <c r="AH204" s="2" t="s">
        <v>5</v>
      </c>
      <c r="AI204" s="2" t="s">
        <v>5</v>
      </c>
      <c r="AJ204" s="2" t="s">
        <v>5</v>
      </c>
      <c r="AK204" s="2" t="s">
        <v>5</v>
      </c>
    </row>
    <row r="205" spans="2:37" ht="12.5">
      <c r="B205" s="2" t="str">
        <f ca="1">IFERROR(__xludf.DUMMYFUNCTION("""COMPUTED_VALUE"""),"鳥栖高")</f>
        <v>鳥栖高</v>
      </c>
      <c r="C205" s="2" t="e">
        <f ca="1"/>
        <v>#N/A</v>
      </c>
      <c r="D205" s="2" t="e">
        <f ca="1"/>
        <v>#REF!</v>
      </c>
      <c r="E205" s="29" t="e">
        <f ca="1"/>
        <v>#REF!</v>
      </c>
      <c r="F205" s="30" t="e">
        <f ca="1"/>
        <v>#REF!</v>
      </c>
      <c r="G205" s="29" t="e">
        <f ca="1"/>
        <v>#REF!</v>
      </c>
      <c r="H205" s="30" t="e">
        <f ca="1"/>
        <v>#REF!</v>
      </c>
      <c r="I205" s="29" t="e">
        <f ca="1"/>
        <v>#REF!</v>
      </c>
      <c r="J205" s="29" t="e">
        <f ca="1"/>
        <v>#REF!</v>
      </c>
      <c r="K205" s="29" t="e">
        <f ca="1"/>
        <v>#REF!</v>
      </c>
      <c r="L205" s="29" t="e">
        <f ca="1"/>
        <v>#REF!</v>
      </c>
      <c r="M205" s="29" t="e">
        <f ca="1"/>
        <v>#REF!</v>
      </c>
      <c r="N205" s="29" t="e">
        <f ca="1"/>
        <v>#REF!</v>
      </c>
      <c r="O205" s="2" t="e">
        <f ca="1"/>
        <v>#N/A</v>
      </c>
      <c r="P205" s="2" t="e">
        <f ca="1"/>
        <v>#N/A</v>
      </c>
      <c r="Q205" s="2" t="s">
        <v>5</v>
      </c>
      <c r="R205" s="2" t="s">
        <v>5</v>
      </c>
      <c r="U205" s="2"/>
      <c r="V205" s="2" t="s">
        <v>5</v>
      </c>
      <c r="W205" s="2" t="s">
        <v>5</v>
      </c>
      <c r="X205" s="29" t="s">
        <v>5</v>
      </c>
      <c r="Y205" s="30" t="s">
        <v>5</v>
      </c>
      <c r="Z205" s="29" t="s">
        <v>5</v>
      </c>
      <c r="AA205" s="30" t="s">
        <v>5</v>
      </c>
      <c r="AB205" s="29" t="s">
        <v>5</v>
      </c>
      <c r="AC205" s="29" t="s">
        <v>5</v>
      </c>
      <c r="AD205" s="29" t="s">
        <v>5</v>
      </c>
      <c r="AE205" s="29" t="s">
        <v>5</v>
      </c>
      <c r="AF205" s="29" t="s">
        <v>5</v>
      </c>
      <c r="AG205" s="29" t="s">
        <v>5</v>
      </c>
      <c r="AH205" s="2" t="s">
        <v>5</v>
      </c>
      <c r="AI205" s="2" t="s">
        <v>5</v>
      </c>
      <c r="AJ205" s="2" t="s">
        <v>5</v>
      </c>
      <c r="AK205" s="2" t="s">
        <v>5</v>
      </c>
    </row>
    <row r="206" spans="2:37" ht="12.5">
      <c r="B206" s="2" t="str">
        <f ca="1">IFERROR(__xludf.DUMMYFUNCTION("""COMPUTED_VALUE"""),"花北青雲高")</f>
        <v>花北青雲高</v>
      </c>
      <c r="C206" s="2" t="e">
        <f ca="1"/>
        <v>#N/A</v>
      </c>
      <c r="D206" s="2" t="e">
        <f ca="1"/>
        <v>#REF!</v>
      </c>
      <c r="E206" s="29" t="e">
        <f ca="1"/>
        <v>#REF!</v>
      </c>
      <c r="F206" s="30" t="e">
        <f ca="1"/>
        <v>#REF!</v>
      </c>
      <c r="G206" s="29" t="e">
        <f ca="1"/>
        <v>#REF!</v>
      </c>
      <c r="H206" s="30" t="e">
        <f ca="1"/>
        <v>#REF!</v>
      </c>
      <c r="I206" s="29" t="e">
        <f ca="1"/>
        <v>#REF!</v>
      </c>
      <c r="J206" s="29" t="e">
        <f ca="1"/>
        <v>#REF!</v>
      </c>
      <c r="K206" s="29" t="e">
        <f ca="1"/>
        <v>#REF!</v>
      </c>
      <c r="L206" s="29" t="e">
        <f ca="1"/>
        <v>#REF!</v>
      </c>
      <c r="M206" s="29" t="e">
        <f ca="1"/>
        <v>#REF!</v>
      </c>
      <c r="N206" s="29" t="e">
        <f ca="1"/>
        <v>#REF!</v>
      </c>
      <c r="O206" s="2" t="e">
        <f ca="1"/>
        <v>#N/A</v>
      </c>
      <c r="P206" s="2" t="e">
        <f ca="1"/>
        <v>#N/A</v>
      </c>
      <c r="Q206" s="2" t="s">
        <v>5</v>
      </c>
      <c r="R206" s="2" t="s">
        <v>5</v>
      </c>
      <c r="U206" s="2"/>
      <c r="V206" s="2" t="s">
        <v>5</v>
      </c>
      <c r="W206" s="2" t="s">
        <v>5</v>
      </c>
      <c r="X206" s="29" t="s">
        <v>5</v>
      </c>
      <c r="Y206" s="30" t="s">
        <v>5</v>
      </c>
      <c r="Z206" s="29" t="s">
        <v>5</v>
      </c>
      <c r="AA206" s="30" t="s">
        <v>5</v>
      </c>
      <c r="AB206" s="29" t="s">
        <v>5</v>
      </c>
      <c r="AC206" s="29" t="s">
        <v>5</v>
      </c>
      <c r="AD206" s="29" t="s">
        <v>5</v>
      </c>
      <c r="AE206" s="29" t="s">
        <v>5</v>
      </c>
      <c r="AF206" s="29" t="s">
        <v>5</v>
      </c>
      <c r="AG206" s="29" t="s">
        <v>5</v>
      </c>
      <c r="AH206" s="2" t="s">
        <v>5</v>
      </c>
      <c r="AI206" s="2" t="s">
        <v>5</v>
      </c>
      <c r="AJ206" s="2" t="s">
        <v>5</v>
      </c>
      <c r="AK206" s="2" t="s">
        <v>5</v>
      </c>
    </row>
    <row r="207" spans="2:37" ht="12.5">
      <c r="B207" s="2" t="str">
        <f ca="1">IFERROR(__xludf.DUMMYFUNCTION("""COMPUTED_VALUE"""),"元石川高")</f>
        <v>元石川高</v>
      </c>
      <c r="C207" s="2" t="e">
        <f ca="1"/>
        <v>#N/A</v>
      </c>
      <c r="D207" s="2" t="e">
        <f ca="1"/>
        <v>#REF!</v>
      </c>
      <c r="E207" s="29" t="e">
        <f ca="1"/>
        <v>#REF!</v>
      </c>
      <c r="F207" s="30" t="e">
        <f ca="1"/>
        <v>#REF!</v>
      </c>
      <c r="G207" s="29" t="e">
        <f ca="1"/>
        <v>#REF!</v>
      </c>
      <c r="H207" s="30" t="e">
        <f ca="1"/>
        <v>#REF!</v>
      </c>
      <c r="I207" s="29" t="e">
        <f ca="1"/>
        <v>#REF!</v>
      </c>
      <c r="J207" s="29" t="e">
        <f ca="1"/>
        <v>#REF!</v>
      </c>
      <c r="K207" s="29" t="e">
        <f ca="1"/>
        <v>#REF!</v>
      </c>
      <c r="L207" s="29" t="e">
        <f ca="1"/>
        <v>#REF!</v>
      </c>
      <c r="M207" s="29" t="e">
        <f ca="1"/>
        <v>#REF!</v>
      </c>
      <c r="N207" s="29" t="e">
        <f ca="1"/>
        <v>#REF!</v>
      </c>
      <c r="O207" s="2" t="e">
        <f ca="1"/>
        <v>#N/A</v>
      </c>
      <c r="P207" s="2" t="e">
        <f ca="1"/>
        <v>#N/A</v>
      </c>
      <c r="Q207" s="2" t="s">
        <v>5</v>
      </c>
      <c r="R207" s="2" t="s">
        <v>5</v>
      </c>
      <c r="U207" s="2"/>
      <c r="V207" s="2" t="s">
        <v>5</v>
      </c>
      <c r="W207" s="2" t="s">
        <v>5</v>
      </c>
      <c r="X207" s="29" t="s">
        <v>5</v>
      </c>
      <c r="Y207" s="30" t="s">
        <v>5</v>
      </c>
      <c r="Z207" s="29" t="s">
        <v>5</v>
      </c>
      <c r="AA207" s="30" t="s">
        <v>5</v>
      </c>
      <c r="AB207" s="29" t="s">
        <v>5</v>
      </c>
      <c r="AC207" s="29" t="s">
        <v>5</v>
      </c>
      <c r="AD207" s="29" t="s">
        <v>5</v>
      </c>
      <c r="AE207" s="29" t="s">
        <v>5</v>
      </c>
      <c r="AF207" s="29" t="s">
        <v>5</v>
      </c>
      <c r="AG207" s="29" t="s">
        <v>5</v>
      </c>
      <c r="AH207" s="2" t="s">
        <v>5</v>
      </c>
      <c r="AI207" s="2" t="s">
        <v>5</v>
      </c>
      <c r="AJ207" s="2" t="s">
        <v>5</v>
      </c>
      <c r="AK207" s="2" t="s">
        <v>5</v>
      </c>
    </row>
    <row r="208" spans="2:37" ht="12.5">
      <c r="B208" s="2" t="str">
        <f ca="1">IFERROR(__xludf.DUMMYFUNCTION("""COMPUTED_VALUE"""),"甲府西高")</f>
        <v>甲府西高</v>
      </c>
      <c r="C208" s="2" t="e">
        <f ca="1"/>
        <v>#N/A</v>
      </c>
      <c r="D208" s="2" t="e">
        <f ca="1"/>
        <v>#REF!</v>
      </c>
      <c r="E208" s="29" t="e">
        <f ca="1"/>
        <v>#REF!</v>
      </c>
      <c r="F208" s="30" t="e">
        <f ca="1"/>
        <v>#REF!</v>
      </c>
      <c r="G208" s="29" t="e">
        <f ca="1"/>
        <v>#REF!</v>
      </c>
      <c r="H208" s="30" t="e">
        <f ca="1"/>
        <v>#REF!</v>
      </c>
      <c r="I208" s="29" t="e">
        <f ca="1"/>
        <v>#REF!</v>
      </c>
      <c r="J208" s="29" t="e">
        <f ca="1"/>
        <v>#REF!</v>
      </c>
      <c r="K208" s="29" t="e">
        <f ca="1"/>
        <v>#REF!</v>
      </c>
      <c r="L208" s="29" t="e">
        <f ca="1"/>
        <v>#REF!</v>
      </c>
      <c r="M208" s="29" t="e">
        <f ca="1"/>
        <v>#REF!</v>
      </c>
      <c r="N208" s="29" t="e">
        <f ca="1"/>
        <v>#REF!</v>
      </c>
      <c r="O208" s="2" t="e">
        <f ca="1"/>
        <v>#N/A</v>
      </c>
      <c r="P208" s="2" t="e">
        <f ca="1"/>
        <v>#N/A</v>
      </c>
      <c r="Q208" s="2" t="s">
        <v>5</v>
      </c>
      <c r="R208" s="2" t="s">
        <v>5</v>
      </c>
      <c r="U208" s="2"/>
      <c r="V208" s="2" t="s">
        <v>5</v>
      </c>
      <c r="W208" s="2" t="s">
        <v>5</v>
      </c>
      <c r="X208" s="29" t="s">
        <v>5</v>
      </c>
      <c r="Y208" s="30" t="s">
        <v>5</v>
      </c>
      <c r="Z208" s="29" t="s">
        <v>5</v>
      </c>
      <c r="AA208" s="30" t="s">
        <v>5</v>
      </c>
      <c r="AB208" s="29" t="s">
        <v>5</v>
      </c>
      <c r="AC208" s="29" t="s">
        <v>5</v>
      </c>
      <c r="AD208" s="29" t="s">
        <v>5</v>
      </c>
      <c r="AE208" s="29" t="s">
        <v>5</v>
      </c>
      <c r="AF208" s="29" t="s">
        <v>5</v>
      </c>
      <c r="AG208" s="29" t="s">
        <v>5</v>
      </c>
      <c r="AH208" s="2" t="s">
        <v>5</v>
      </c>
      <c r="AI208" s="2" t="s">
        <v>5</v>
      </c>
      <c r="AJ208" s="2" t="s">
        <v>5</v>
      </c>
      <c r="AK208" s="2" t="s">
        <v>5</v>
      </c>
    </row>
    <row r="209" spans="2:37" ht="12.5">
      <c r="B209" s="2" t="str">
        <f ca="1">IFERROR(__xludf.DUMMYFUNCTION("""COMPUTED_VALUE"""),"諏訪二葉高")</f>
        <v>諏訪二葉高</v>
      </c>
      <c r="C209" s="2" t="e">
        <f ca="1"/>
        <v>#N/A</v>
      </c>
      <c r="D209" s="2" t="e">
        <f ca="1"/>
        <v>#REF!</v>
      </c>
      <c r="E209" s="29" t="e">
        <f ca="1"/>
        <v>#REF!</v>
      </c>
      <c r="F209" s="30" t="e">
        <f ca="1"/>
        <v>#REF!</v>
      </c>
      <c r="G209" s="29" t="e">
        <f ca="1"/>
        <v>#REF!</v>
      </c>
      <c r="H209" s="30" t="e">
        <f ca="1"/>
        <v>#REF!</v>
      </c>
      <c r="I209" s="29" t="e">
        <f ca="1"/>
        <v>#REF!</v>
      </c>
      <c r="J209" s="29" t="e">
        <f ca="1"/>
        <v>#REF!</v>
      </c>
      <c r="K209" s="29" t="e">
        <f ca="1"/>
        <v>#REF!</v>
      </c>
      <c r="L209" s="29" t="e">
        <f ca="1"/>
        <v>#REF!</v>
      </c>
      <c r="M209" s="29" t="e">
        <f ca="1"/>
        <v>#REF!</v>
      </c>
      <c r="N209" s="29" t="e">
        <f ca="1"/>
        <v>#REF!</v>
      </c>
      <c r="O209" s="2" t="e">
        <f ca="1"/>
        <v>#N/A</v>
      </c>
      <c r="P209" s="2" t="e">
        <f ca="1"/>
        <v>#N/A</v>
      </c>
      <c r="Q209" s="2" t="s">
        <v>5</v>
      </c>
      <c r="R209" s="2" t="s">
        <v>5</v>
      </c>
      <c r="U209" s="2"/>
      <c r="V209" s="2" t="s">
        <v>5</v>
      </c>
      <c r="W209" s="2" t="s">
        <v>5</v>
      </c>
      <c r="X209" s="29" t="s">
        <v>5</v>
      </c>
      <c r="Y209" s="30" t="s">
        <v>5</v>
      </c>
      <c r="Z209" s="29" t="s">
        <v>5</v>
      </c>
      <c r="AA209" s="30" t="s">
        <v>5</v>
      </c>
      <c r="AB209" s="29" t="s">
        <v>5</v>
      </c>
      <c r="AC209" s="29" t="s">
        <v>5</v>
      </c>
      <c r="AD209" s="29" t="s">
        <v>5</v>
      </c>
      <c r="AE209" s="29" t="s">
        <v>5</v>
      </c>
      <c r="AF209" s="29" t="s">
        <v>5</v>
      </c>
      <c r="AG209" s="29" t="s">
        <v>5</v>
      </c>
      <c r="AH209" s="2" t="s">
        <v>5</v>
      </c>
      <c r="AI209" s="2" t="s">
        <v>5</v>
      </c>
      <c r="AJ209" s="2" t="s">
        <v>5</v>
      </c>
      <c r="AK209" s="2" t="s">
        <v>5</v>
      </c>
    </row>
    <row r="210" spans="2:37" ht="12.5">
      <c r="B210" s="2" t="str">
        <f ca="1">IFERROR(__xludf.DUMMYFUNCTION("""COMPUTED_VALUE"""),"桜花学園高")</f>
        <v>桜花学園高</v>
      </c>
      <c r="C210" s="2" t="e">
        <f ca="1"/>
        <v>#N/A</v>
      </c>
      <c r="D210" s="2" t="e">
        <f ca="1"/>
        <v>#REF!</v>
      </c>
      <c r="E210" s="29" t="e">
        <f ca="1"/>
        <v>#REF!</v>
      </c>
      <c r="F210" s="30" t="e">
        <f ca="1"/>
        <v>#REF!</v>
      </c>
      <c r="G210" s="29" t="e">
        <f ca="1"/>
        <v>#REF!</v>
      </c>
      <c r="H210" s="30" t="e">
        <f ca="1"/>
        <v>#REF!</v>
      </c>
      <c r="I210" s="29" t="e">
        <f ca="1"/>
        <v>#REF!</v>
      </c>
      <c r="J210" s="29" t="e">
        <f ca="1"/>
        <v>#REF!</v>
      </c>
      <c r="K210" s="29" t="e">
        <f ca="1"/>
        <v>#REF!</v>
      </c>
      <c r="L210" s="29" t="e">
        <f ca="1"/>
        <v>#REF!</v>
      </c>
      <c r="M210" s="29" t="e">
        <f ca="1"/>
        <v>#REF!</v>
      </c>
      <c r="N210" s="29" t="e">
        <f ca="1"/>
        <v>#REF!</v>
      </c>
      <c r="O210" s="2" t="e">
        <f ca="1"/>
        <v>#N/A</v>
      </c>
      <c r="P210" s="2" t="e">
        <f ca="1"/>
        <v>#N/A</v>
      </c>
      <c r="Q210" s="2" t="s">
        <v>5</v>
      </c>
      <c r="R210" s="2" t="s">
        <v>5</v>
      </c>
      <c r="U210" s="2"/>
      <c r="V210" s="2" t="s">
        <v>5</v>
      </c>
      <c r="W210" s="2" t="s">
        <v>5</v>
      </c>
      <c r="X210" s="29" t="s">
        <v>5</v>
      </c>
      <c r="Y210" s="30" t="s">
        <v>5</v>
      </c>
      <c r="Z210" s="29" t="s">
        <v>5</v>
      </c>
      <c r="AA210" s="30" t="s">
        <v>5</v>
      </c>
      <c r="AB210" s="29" t="s">
        <v>5</v>
      </c>
      <c r="AC210" s="29" t="s">
        <v>5</v>
      </c>
      <c r="AD210" s="29" t="s">
        <v>5</v>
      </c>
      <c r="AE210" s="29" t="s">
        <v>5</v>
      </c>
      <c r="AF210" s="29" t="s">
        <v>5</v>
      </c>
      <c r="AG210" s="29" t="s">
        <v>5</v>
      </c>
      <c r="AH210" s="2" t="s">
        <v>5</v>
      </c>
      <c r="AI210" s="2" t="s">
        <v>5</v>
      </c>
      <c r="AJ210" s="2" t="s">
        <v>5</v>
      </c>
      <c r="AK210" s="2" t="s">
        <v>5</v>
      </c>
    </row>
    <row r="211" spans="2:37" ht="12.5">
      <c r="B211" s="2" t="str">
        <f ca="1">IFERROR(__xludf.DUMMYFUNCTION("""COMPUTED_VALUE"""),"開明高")</f>
        <v>開明高</v>
      </c>
      <c r="C211" s="2" t="e">
        <f ca="1"/>
        <v>#N/A</v>
      </c>
      <c r="D211" s="2" t="e">
        <f ca="1"/>
        <v>#REF!</v>
      </c>
      <c r="E211" s="29" t="e">
        <f ca="1"/>
        <v>#REF!</v>
      </c>
      <c r="F211" s="30" t="e">
        <f ca="1"/>
        <v>#REF!</v>
      </c>
      <c r="G211" s="29" t="e">
        <f ca="1"/>
        <v>#REF!</v>
      </c>
      <c r="H211" s="30" t="e">
        <f ca="1"/>
        <v>#REF!</v>
      </c>
      <c r="I211" s="29" t="e">
        <f ca="1"/>
        <v>#REF!</v>
      </c>
      <c r="J211" s="29" t="e">
        <f ca="1"/>
        <v>#REF!</v>
      </c>
      <c r="K211" s="29" t="e">
        <f ca="1"/>
        <v>#REF!</v>
      </c>
      <c r="L211" s="29" t="e">
        <f ca="1"/>
        <v>#REF!</v>
      </c>
      <c r="M211" s="29" t="e">
        <f ca="1"/>
        <v>#REF!</v>
      </c>
      <c r="N211" s="29" t="e">
        <f ca="1"/>
        <v>#REF!</v>
      </c>
      <c r="O211" s="2" t="e">
        <f ca="1"/>
        <v>#N/A</v>
      </c>
      <c r="P211" s="2" t="e">
        <f ca="1"/>
        <v>#N/A</v>
      </c>
      <c r="Q211" s="2" t="s">
        <v>5</v>
      </c>
      <c r="R211" s="2" t="s">
        <v>5</v>
      </c>
      <c r="U211" s="2"/>
      <c r="V211" s="2" t="s">
        <v>5</v>
      </c>
      <c r="W211" s="2" t="s">
        <v>5</v>
      </c>
      <c r="X211" s="29" t="s">
        <v>5</v>
      </c>
      <c r="Y211" s="30" t="s">
        <v>5</v>
      </c>
      <c r="Z211" s="29" t="s">
        <v>5</v>
      </c>
      <c r="AA211" s="30" t="s">
        <v>5</v>
      </c>
      <c r="AB211" s="29" t="s">
        <v>5</v>
      </c>
      <c r="AC211" s="29" t="s">
        <v>5</v>
      </c>
      <c r="AD211" s="29" t="s">
        <v>5</v>
      </c>
      <c r="AE211" s="29" t="s">
        <v>5</v>
      </c>
      <c r="AF211" s="29" t="s">
        <v>5</v>
      </c>
      <c r="AG211" s="29" t="s">
        <v>5</v>
      </c>
      <c r="AH211" s="2" t="s">
        <v>5</v>
      </c>
      <c r="AI211" s="2" t="s">
        <v>5</v>
      </c>
      <c r="AJ211" s="2" t="s">
        <v>5</v>
      </c>
      <c r="AK211" s="2" t="s">
        <v>5</v>
      </c>
    </row>
    <row r="212" spans="2:37" ht="12.5">
      <c r="B212" s="2" t="str">
        <f ca="1">IFERROR(__xludf.DUMMYFUNCTION("""COMPUTED_VALUE"""),"大宮高")</f>
        <v>大宮高</v>
      </c>
      <c r="C212" s="2" t="e">
        <f ca="1"/>
        <v>#N/A</v>
      </c>
      <c r="D212" s="2" t="e">
        <f ca="1"/>
        <v>#REF!</v>
      </c>
      <c r="E212" s="29" t="e">
        <f ca="1"/>
        <v>#REF!</v>
      </c>
      <c r="F212" s="30" t="e">
        <f ca="1"/>
        <v>#REF!</v>
      </c>
      <c r="G212" s="29" t="e">
        <f ca="1"/>
        <v>#REF!</v>
      </c>
      <c r="H212" s="30" t="e">
        <f ca="1"/>
        <v>#REF!</v>
      </c>
      <c r="I212" s="29" t="e">
        <f ca="1"/>
        <v>#REF!</v>
      </c>
      <c r="J212" s="29" t="e">
        <f ca="1"/>
        <v>#REF!</v>
      </c>
      <c r="K212" s="29" t="e">
        <f ca="1"/>
        <v>#REF!</v>
      </c>
      <c r="L212" s="29" t="e">
        <f ca="1"/>
        <v>#REF!</v>
      </c>
      <c r="M212" s="29" t="e">
        <f ca="1"/>
        <v>#REF!</v>
      </c>
      <c r="N212" s="29" t="e">
        <f ca="1"/>
        <v>#REF!</v>
      </c>
      <c r="O212" s="2" t="e">
        <f ca="1"/>
        <v>#N/A</v>
      </c>
      <c r="P212" s="2" t="e">
        <f ca="1"/>
        <v>#N/A</v>
      </c>
      <c r="Q212" s="2" t="s">
        <v>5</v>
      </c>
      <c r="R212" s="2" t="s">
        <v>5</v>
      </c>
      <c r="U212" s="2"/>
      <c r="V212" s="2" t="s">
        <v>5</v>
      </c>
      <c r="W212" s="2" t="s">
        <v>5</v>
      </c>
      <c r="X212" s="29" t="s">
        <v>5</v>
      </c>
      <c r="Y212" s="30" t="s">
        <v>5</v>
      </c>
      <c r="Z212" s="29" t="s">
        <v>5</v>
      </c>
      <c r="AA212" s="30" t="s">
        <v>5</v>
      </c>
      <c r="AB212" s="29" t="s">
        <v>5</v>
      </c>
      <c r="AC212" s="29" t="s">
        <v>5</v>
      </c>
      <c r="AD212" s="29" t="s">
        <v>5</v>
      </c>
      <c r="AE212" s="29" t="s">
        <v>5</v>
      </c>
      <c r="AF212" s="29" t="s">
        <v>5</v>
      </c>
      <c r="AG212" s="29" t="s">
        <v>5</v>
      </c>
      <c r="AH212" s="2" t="s">
        <v>5</v>
      </c>
      <c r="AI212" s="2" t="s">
        <v>5</v>
      </c>
      <c r="AJ212" s="2" t="s">
        <v>5</v>
      </c>
      <c r="AK212" s="2" t="s">
        <v>5</v>
      </c>
    </row>
    <row r="213" spans="2:37" ht="12.5">
      <c r="B213" s="2" t="str">
        <f ca="1">IFERROR(__xludf.DUMMYFUNCTION("""COMPUTED_VALUE"""),"文京高")</f>
        <v>文京高</v>
      </c>
      <c r="C213" s="2" t="e">
        <f ca="1"/>
        <v>#N/A</v>
      </c>
      <c r="D213" s="2" t="e">
        <f ca="1"/>
        <v>#REF!</v>
      </c>
      <c r="E213" s="29" t="e">
        <f ca="1"/>
        <v>#REF!</v>
      </c>
      <c r="F213" s="30" t="e">
        <f ca="1"/>
        <v>#REF!</v>
      </c>
      <c r="G213" s="29" t="e">
        <f ca="1"/>
        <v>#REF!</v>
      </c>
      <c r="H213" s="30" t="e">
        <f ca="1"/>
        <v>#REF!</v>
      </c>
      <c r="I213" s="29" t="e">
        <f ca="1"/>
        <v>#REF!</v>
      </c>
      <c r="J213" s="29" t="e">
        <f ca="1"/>
        <v>#REF!</v>
      </c>
      <c r="K213" s="29" t="e">
        <f ca="1"/>
        <v>#REF!</v>
      </c>
      <c r="L213" s="29" t="e">
        <f ca="1"/>
        <v>#REF!</v>
      </c>
      <c r="M213" s="29" t="e">
        <f ca="1"/>
        <v>#REF!</v>
      </c>
      <c r="N213" s="29" t="e">
        <f ca="1"/>
        <v>#REF!</v>
      </c>
      <c r="O213" s="2" t="e">
        <f ca="1"/>
        <v>#N/A</v>
      </c>
      <c r="P213" s="2" t="e">
        <f ca="1"/>
        <v>#N/A</v>
      </c>
      <c r="Q213" s="2" t="s">
        <v>5</v>
      </c>
      <c r="R213" s="2" t="s">
        <v>5</v>
      </c>
      <c r="U213" s="2"/>
      <c r="V213" s="2" t="s">
        <v>5</v>
      </c>
      <c r="W213" s="2" t="s">
        <v>5</v>
      </c>
      <c r="X213" s="29" t="s">
        <v>5</v>
      </c>
      <c r="Y213" s="30" t="s">
        <v>5</v>
      </c>
      <c r="Z213" s="29" t="s">
        <v>5</v>
      </c>
      <c r="AA213" s="30" t="s">
        <v>5</v>
      </c>
      <c r="AB213" s="29" t="s">
        <v>5</v>
      </c>
      <c r="AC213" s="29" t="s">
        <v>5</v>
      </c>
      <c r="AD213" s="29" t="s">
        <v>5</v>
      </c>
      <c r="AE213" s="29" t="s">
        <v>5</v>
      </c>
      <c r="AF213" s="29" t="s">
        <v>5</v>
      </c>
      <c r="AG213" s="29" t="s">
        <v>5</v>
      </c>
      <c r="AH213" s="2" t="s">
        <v>5</v>
      </c>
      <c r="AI213" s="2" t="s">
        <v>5</v>
      </c>
      <c r="AJ213" s="2" t="s">
        <v>5</v>
      </c>
      <c r="AK213" s="2" t="s">
        <v>5</v>
      </c>
    </row>
    <row r="214" spans="2:37" ht="12.5">
      <c r="B214" s="2" t="str">
        <f ca="1">IFERROR(__xludf.DUMMYFUNCTION("""COMPUTED_VALUE"""),"甲府東高")</f>
        <v>甲府東高</v>
      </c>
      <c r="C214" s="2" t="e">
        <f ca="1"/>
        <v>#N/A</v>
      </c>
      <c r="D214" s="2" t="e">
        <f ca="1"/>
        <v>#REF!</v>
      </c>
      <c r="E214" s="29" t="e">
        <f ca="1"/>
        <v>#REF!</v>
      </c>
      <c r="F214" s="30" t="e">
        <f ca="1"/>
        <v>#REF!</v>
      </c>
      <c r="G214" s="29" t="e">
        <f ca="1"/>
        <v>#REF!</v>
      </c>
      <c r="H214" s="30" t="e">
        <f ca="1"/>
        <v>#REF!</v>
      </c>
      <c r="I214" s="29" t="e">
        <f ca="1"/>
        <v>#REF!</v>
      </c>
      <c r="J214" s="29" t="e">
        <f ca="1"/>
        <v>#REF!</v>
      </c>
      <c r="K214" s="29" t="e">
        <f ca="1"/>
        <v>#REF!</v>
      </c>
      <c r="L214" s="29" t="e">
        <f ca="1"/>
        <v>#REF!</v>
      </c>
      <c r="M214" s="29" t="e">
        <f ca="1"/>
        <v>#REF!</v>
      </c>
      <c r="N214" s="29" t="e">
        <f ca="1"/>
        <v>#REF!</v>
      </c>
      <c r="O214" s="2" t="e">
        <f ca="1"/>
        <v>#N/A</v>
      </c>
      <c r="P214" s="2" t="e">
        <f ca="1"/>
        <v>#N/A</v>
      </c>
      <c r="Q214" s="2" t="s">
        <v>5</v>
      </c>
      <c r="R214" s="2" t="s">
        <v>5</v>
      </c>
      <c r="U214" s="2"/>
      <c r="V214" s="2" t="s">
        <v>5</v>
      </c>
      <c r="W214" s="2" t="s">
        <v>5</v>
      </c>
      <c r="X214" s="29" t="s">
        <v>5</v>
      </c>
      <c r="Y214" s="30" t="s">
        <v>5</v>
      </c>
      <c r="Z214" s="29" t="s">
        <v>5</v>
      </c>
      <c r="AA214" s="30" t="s">
        <v>5</v>
      </c>
      <c r="AB214" s="29" t="s">
        <v>5</v>
      </c>
      <c r="AC214" s="29" t="s">
        <v>5</v>
      </c>
      <c r="AD214" s="29" t="s">
        <v>5</v>
      </c>
      <c r="AE214" s="29" t="s">
        <v>5</v>
      </c>
      <c r="AF214" s="29" t="s">
        <v>5</v>
      </c>
      <c r="AG214" s="29" t="s">
        <v>5</v>
      </c>
      <c r="AH214" s="2" t="s">
        <v>5</v>
      </c>
      <c r="AI214" s="2" t="s">
        <v>5</v>
      </c>
      <c r="AJ214" s="2" t="s">
        <v>5</v>
      </c>
      <c r="AK214" s="2" t="s">
        <v>5</v>
      </c>
    </row>
    <row r="215" spans="2:37" ht="12.5">
      <c r="B215" s="2" t="str">
        <f ca="1">IFERROR(__xludf.DUMMYFUNCTION("""COMPUTED_VALUE"""),"松山東高")</f>
        <v>松山東高</v>
      </c>
      <c r="C215" s="2" t="e">
        <f ca="1"/>
        <v>#N/A</v>
      </c>
      <c r="D215" s="2" t="e">
        <f ca="1"/>
        <v>#REF!</v>
      </c>
      <c r="E215" s="29" t="e">
        <f ca="1"/>
        <v>#REF!</v>
      </c>
      <c r="F215" s="30" t="e">
        <f ca="1"/>
        <v>#REF!</v>
      </c>
      <c r="G215" s="29" t="e">
        <f ca="1"/>
        <v>#REF!</v>
      </c>
      <c r="H215" s="30" t="e">
        <f ca="1"/>
        <v>#REF!</v>
      </c>
      <c r="I215" s="29" t="e">
        <f ca="1"/>
        <v>#REF!</v>
      </c>
      <c r="J215" s="29" t="e">
        <f ca="1"/>
        <v>#REF!</v>
      </c>
      <c r="K215" s="29" t="e">
        <f ca="1"/>
        <v>#REF!</v>
      </c>
      <c r="L215" s="29" t="e">
        <f ca="1"/>
        <v>#REF!</v>
      </c>
      <c r="M215" s="29" t="e">
        <f ca="1"/>
        <v>#REF!</v>
      </c>
      <c r="N215" s="29" t="e">
        <f ca="1"/>
        <v>#REF!</v>
      </c>
      <c r="O215" s="2" t="e">
        <f ca="1"/>
        <v>#N/A</v>
      </c>
      <c r="P215" s="2" t="e">
        <f ca="1"/>
        <v>#N/A</v>
      </c>
      <c r="Q215" s="2" t="s">
        <v>5</v>
      </c>
      <c r="R215" s="2" t="s">
        <v>5</v>
      </c>
      <c r="U215" s="2"/>
      <c r="V215" s="2" t="s">
        <v>5</v>
      </c>
      <c r="W215" s="2" t="s">
        <v>5</v>
      </c>
      <c r="X215" s="29" t="s">
        <v>5</v>
      </c>
      <c r="Y215" s="30" t="s">
        <v>5</v>
      </c>
      <c r="Z215" s="29" t="s">
        <v>5</v>
      </c>
      <c r="AA215" s="30" t="s">
        <v>5</v>
      </c>
      <c r="AB215" s="29" t="s">
        <v>5</v>
      </c>
      <c r="AC215" s="29" t="s">
        <v>5</v>
      </c>
      <c r="AD215" s="29" t="s">
        <v>5</v>
      </c>
      <c r="AE215" s="29" t="s">
        <v>5</v>
      </c>
      <c r="AF215" s="29" t="s">
        <v>5</v>
      </c>
      <c r="AG215" s="29" t="s">
        <v>5</v>
      </c>
      <c r="AH215" s="2" t="s">
        <v>5</v>
      </c>
      <c r="AI215" s="2" t="s">
        <v>5</v>
      </c>
      <c r="AJ215" s="2" t="s">
        <v>5</v>
      </c>
      <c r="AK215" s="2" t="s">
        <v>5</v>
      </c>
    </row>
    <row r="216" spans="2:37" ht="12.5">
      <c r="B216" s="2" t="str">
        <f ca="1">IFERROR(__xludf.DUMMYFUNCTION("""COMPUTED_VALUE"""),"東京農大三高")</f>
        <v>東京農大三高</v>
      </c>
      <c r="C216" s="2" t="e">
        <f ca="1"/>
        <v>#N/A</v>
      </c>
      <c r="D216" s="2" t="e">
        <f ca="1"/>
        <v>#REF!</v>
      </c>
      <c r="E216" s="29" t="e">
        <f ca="1"/>
        <v>#REF!</v>
      </c>
      <c r="F216" s="30" t="e">
        <f ca="1"/>
        <v>#REF!</v>
      </c>
      <c r="G216" s="29" t="e">
        <f ca="1"/>
        <v>#REF!</v>
      </c>
      <c r="H216" s="30" t="e">
        <f ca="1"/>
        <v>#REF!</v>
      </c>
      <c r="I216" s="29" t="e">
        <f ca="1"/>
        <v>#REF!</v>
      </c>
      <c r="J216" s="29" t="e">
        <f ca="1"/>
        <v>#REF!</v>
      </c>
      <c r="K216" s="29" t="e">
        <f ca="1"/>
        <v>#REF!</v>
      </c>
      <c r="L216" s="29" t="e">
        <f ca="1"/>
        <v>#REF!</v>
      </c>
      <c r="M216" s="29" t="e">
        <f ca="1"/>
        <v>#REF!</v>
      </c>
      <c r="N216" s="29" t="e">
        <f ca="1"/>
        <v>#REF!</v>
      </c>
      <c r="O216" s="2" t="e">
        <f ca="1"/>
        <v>#N/A</v>
      </c>
      <c r="P216" s="2" t="e">
        <f ca="1"/>
        <v>#N/A</v>
      </c>
      <c r="Q216" s="2" t="s">
        <v>5</v>
      </c>
      <c r="R216" s="2" t="s">
        <v>5</v>
      </c>
      <c r="U216" s="2"/>
      <c r="V216" s="2" t="s">
        <v>5</v>
      </c>
      <c r="W216" s="2" t="s">
        <v>5</v>
      </c>
      <c r="X216" s="29" t="s">
        <v>5</v>
      </c>
      <c r="Y216" s="30" t="s">
        <v>5</v>
      </c>
      <c r="Z216" s="29" t="s">
        <v>5</v>
      </c>
      <c r="AA216" s="30" t="s">
        <v>5</v>
      </c>
      <c r="AB216" s="29" t="s">
        <v>5</v>
      </c>
      <c r="AC216" s="29" t="s">
        <v>5</v>
      </c>
      <c r="AD216" s="29" t="s">
        <v>5</v>
      </c>
      <c r="AE216" s="29" t="s">
        <v>5</v>
      </c>
      <c r="AF216" s="29" t="s">
        <v>5</v>
      </c>
      <c r="AG216" s="29" t="s">
        <v>5</v>
      </c>
      <c r="AH216" s="2" t="s">
        <v>5</v>
      </c>
      <c r="AI216" s="2" t="s">
        <v>5</v>
      </c>
      <c r="AJ216" s="2" t="s">
        <v>5</v>
      </c>
      <c r="AK216" s="2" t="s">
        <v>5</v>
      </c>
    </row>
    <row r="217" spans="2:37" ht="12.5">
      <c r="B217" s="2" t="str">
        <f ca="1">IFERROR(__xludf.DUMMYFUNCTION("""COMPUTED_VALUE"""),"池田高")</f>
        <v>池田高</v>
      </c>
      <c r="C217" s="2" t="e">
        <f ca="1"/>
        <v>#N/A</v>
      </c>
      <c r="D217" s="2" t="e">
        <f ca="1"/>
        <v>#REF!</v>
      </c>
      <c r="E217" s="29" t="e">
        <f ca="1"/>
        <v>#REF!</v>
      </c>
      <c r="F217" s="30" t="e">
        <f ca="1"/>
        <v>#REF!</v>
      </c>
      <c r="G217" s="29" t="e">
        <f ca="1"/>
        <v>#REF!</v>
      </c>
      <c r="H217" s="30" t="e">
        <f ca="1"/>
        <v>#REF!</v>
      </c>
      <c r="I217" s="29" t="e">
        <f ca="1"/>
        <v>#REF!</v>
      </c>
      <c r="J217" s="29" t="e">
        <f ca="1"/>
        <v>#REF!</v>
      </c>
      <c r="K217" s="29" t="e">
        <f ca="1"/>
        <v>#REF!</v>
      </c>
      <c r="L217" s="29" t="e">
        <f ca="1"/>
        <v>#REF!</v>
      </c>
      <c r="M217" s="29" t="e">
        <f ca="1"/>
        <v>#REF!</v>
      </c>
      <c r="N217" s="29" t="e">
        <f ca="1"/>
        <v>#REF!</v>
      </c>
      <c r="O217" s="2" t="e">
        <f ca="1"/>
        <v>#N/A</v>
      </c>
      <c r="P217" s="2" t="e">
        <f ca="1"/>
        <v>#N/A</v>
      </c>
      <c r="Q217" s="2" t="s">
        <v>5</v>
      </c>
      <c r="R217" s="2" t="s">
        <v>5</v>
      </c>
      <c r="U217" s="2"/>
      <c r="V217" s="2" t="s">
        <v>5</v>
      </c>
      <c r="W217" s="2" t="s">
        <v>5</v>
      </c>
      <c r="X217" s="29" t="s">
        <v>5</v>
      </c>
      <c r="Y217" s="30" t="s">
        <v>5</v>
      </c>
      <c r="Z217" s="29" t="s">
        <v>5</v>
      </c>
      <c r="AA217" s="30" t="s">
        <v>5</v>
      </c>
      <c r="AB217" s="29" t="s">
        <v>5</v>
      </c>
      <c r="AC217" s="29" t="s">
        <v>5</v>
      </c>
      <c r="AD217" s="29" t="s">
        <v>5</v>
      </c>
      <c r="AE217" s="29" t="s">
        <v>5</v>
      </c>
      <c r="AF217" s="29" t="s">
        <v>5</v>
      </c>
      <c r="AG217" s="29" t="s">
        <v>5</v>
      </c>
      <c r="AH217" s="2" t="s">
        <v>5</v>
      </c>
      <c r="AI217" s="2" t="s">
        <v>5</v>
      </c>
      <c r="AJ217" s="2" t="s">
        <v>5</v>
      </c>
      <c r="AK217" s="2" t="s">
        <v>5</v>
      </c>
    </row>
    <row r="218" spans="2:37" ht="12.5">
      <c r="B218" s="2" t="str">
        <f ca="1">IFERROR(__xludf.DUMMYFUNCTION("""COMPUTED_VALUE"""),"北須磨高")</f>
        <v>北須磨高</v>
      </c>
      <c r="C218" s="2" t="e">
        <f ca="1"/>
        <v>#N/A</v>
      </c>
      <c r="D218" s="2" t="e">
        <f ca="1"/>
        <v>#REF!</v>
      </c>
      <c r="E218" s="29" t="e">
        <f ca="1"/>
        <v>#REF!</v>
      </c>
      <c r="F218" s="30" t="e">
        <f ca="1"/>
        <v>#REF!</v>
      </c>
      <c r="G218" s="29" t="e">
        <f ca="1"/>
        <v>#REF!</v>
      </c>
      <c r="H218" s="30" t="e">
        <f ca="1"/>
        <v>#REF!</v>
      </c>
      <c r="I218" s="29" t="e">
        <f ca="1"/>
        <v>#REF!</v>
      </c>
      <c r="J218" s="29" t="e">
        <f ca="1"/>
        <v>#REF!</v>
      </c>
      <c r="K218" s="29" t="e">
        <f ca="1"/>
        <v>#REF!</v>
      </c>
      <c r="L218" s="29" t="e">
        <f ca="1"/>
        <v>#REF!</v>
      </c>
      <c r="M218" s="29" t="e">
        <f ca="1"/>
        <v>#REF!</v>
      </c>
      <c r="N218" s="29" t="e">
        <f ca="1"/>
        <v>#REF!</v>
      </c>
      <c r="O218" s="2" t="e">
        <f ca="1"/>
        <v>#N/A</v>
      </c>
      <c r="P218" s="2" t="e">
        <f ca="1"/>
        <v>#N/A</v>
      </c>
      <c r="Q218" s="2" t="s">
        <v>5</v>
      </c>
      <c r="R218" s="2" t="s">
        <v>5</v>
      </c>
      <c r="U218" s="2"/>
      <c r="V218" s="2" t="s">
        <v>5</v>
      </c>
      <c r="W218" s="2" t="s">
        <v>5</v>
      </c>
      <c r="X218" s="29" t="s">
        <v>5</v>
      </c>
      <c r="Y218" s="30" t="s">
        <v>5</v>
      </c>
      <c r="Z218" s="29" t="s">
        <v>5</v>
      </c>
      <c r="AA218" s="30" t="s">
        <v>5</v>
      </c>
      <c r="AB218" s="29" t="s">
        <v>5</v>
      </c>
      <c r="AC218" s="29" t="s">
        <v>5</v>
      </c>
      <c r="AD218" s="29" t="s">
        <v>5</v>
      </c>
      <c r="AE218" s="29" t="s">
        <v>5</v>
      </c>
      <c r="AF218" s="29" t="s">
        <v>5</v>
      </c>
      <c r="AG218" s="29" t="s">
        <v>5</v>
      </c>
      <c r="AH218" s="2" t="s">
        <v>5</v>
      </c>
      <c r="AI218" s="2" t="s">
        <v>5</v>
      </c>
      <c r="AJ218" s="2" t="s">
        <v>5</v>
      </c>
      <c r="AK218" s="2" t="s">
        <v>5</v>
      </c>
    </row>
    <row r="219" spans="2:37" ht="12.5">
      <c r="B219" s="2" t="str">
        <f ca="1">IFERROR(__xludf.DUMMYFUNCTION("""COMPUTED_VALUE"""),"唐津東高")</f>
        <v>唐津東高</v>
      </c>
      <c r="C219" s="2" t="e">
        <f ca="1"/>
        <v>#N/A</v>
      </c>
      <c r="D219" s="2" t="e">
        <f ca="1"/>
        <v>#REF!</v>
      </c>
      <c r="E219" s="29" t="e">
        <f ca="1"/>
        <v>#REF!</v>
      </c>
      <c r="F219" s="30" t="e">
        <f ca="1"/>
        <v>#REF!</v>
      </c>
      <c r="G219" s="29" t="e">
        <f ca="1"/>
        <v>#REF!</v>
      </c>
      <c r="H219" s="30" t="e">
        <f ca="1"/>
        <v>#REF!</v>
      </c>
      <c r="I219" s="29" t="e">
        <f ca="1"/>
        <v>#REF!</v>
      </c>
      <c r="J219" s="29" t="e">
        <f ca="1"/>
        <v>#REF!</v>
      </c>
      <c r="K219" s="29" t="e">
        <f ca="1"/>
        <v>#REF!</v>
      </c>
      <c r="L219" s="29" t="e">
        <f ca="1"/>
        <v>#REF!</v>
      </c>
      <c r="M219" s="29" t="e">
        <f ca="1"/>
        <v>#REF!</v>
      </c>
      <c r="N219" s="29" t="e">
        <f ca="1"/>
        <v>#REF!</v>
      </c>
      <c r="O219" s="2" t="e">
        <f ca="1"/>
        <v>#N/A</v>
      </c>
      <c r="P219" s="2" t="e">
        <f ca="1"/>
        <v>#N/A</v>
      </c>
      <c r="Q219" s="2" t="s">
        <v>5</v>
      </c>
      <c r="R219" s="2" t="s">
        <v>5</v>
      </c>
      <c r="U219" s="2"/>
      <c r="V219" s="2" t="s">
        <v>5</v>
      </c>
      <c r="W219" s="2" t="s">
        <v>5</v>
      </c>
      <c r="X219" s="29" t="s">
        <v>5</v>
      </c>
      <c r="Y219" s="30" t="s">
        <v>5</v>
      </c>
      <c r="Z219" s="29" t="s">
        <v>5</v>
      </c>
      <c r="AA219" s="30" t="s">
        <v>5</v>
      </c>
      <c r="AB219" s="29" t="s">
        <v>5</v>
      </c>
      <c r="AC219" s="29" t="s">
        <v>5</v>
      </c>
      <c r="AD219" s="29" t="s">
        <v>5</v>
      </c>
      <c r="AE219" s="29" t="s">
        <v>5</v>
      </c>
      <c r="AF219" s="29" t="s">
        <v>5</v>
      </c>
      <c r="AG219" s="29" t="s">
        <v>5</v>
      </c>
      <c r="AH219" s="2" t="s">
        <v>5</v>
      </c>
      <c r="AI219" s="2" t="s">
        <v>5</v>
      </c>
      <c r="AJ219" s="2" t="s">
        <v>5</v>
      </c>
      <c r="AK219" s="2" t="s">
        <v>5</v>
      </c>
    </row>
    <row r="220" spans="2:37" ht="12.5">
      <c r="B220" s="2" t="str">
        <f ca="1">IFERROR(__xludf.DUMMYFUNCTION("""COMPUTED_VALUE"""),"北海学園札幌高")</f>
        <v>北海学園札幌高</v>
      </c>
      <c r="C220" s="2" t="e">
        <f ca="1"/>
        <v>#N/A</v>
      </c>
      <c r="D220" s="2" t="e">
        <f ca="1"/>
        <v>#REF!</v>
      </c>
      <c r="E220" s="29" t="e">
        <f ca="1"/>
        <v>#REF!</v>
      </c>
      <c r="F220" s="30" t="e">
        <f ca="1"/>
        <v>#REF!</v>
      </c>
      <c r="G220" s="29" t="e">
        <f ca="1"/>
        <v>#REF!</v>
      </c>
      <c r="H220" s="30" t="e">
        <f ca="1"/>
        <v>#REF!</v>
      </c>
      <c r="I220" s="29" t="e">
        <f ca="1"/>
        <v>#REF!</v>
      </c>
      <c r="J220" s="29" t="e">
        <f ca="1"/>
        <v>#REF!</v>
      </c>
      <c r="K220" s="29" t="e">
        <f ca="1"/>
        <v>#REF!</v>
      </c>
      <c r="L220" s="29" t="e">
        <f ca="1"/>
        <v>#REF!</v>
      </c>
      <c r="M220" s="29" t="e">
        <f ca="1"/>
        <v>#REF!</v>
      </c>
      <c r="N220" s="29" t="e">
        <f ca="1"/>
        <v>#REF!</v>
      </c>
      <c r="O220" s="2" t="e">
        <f ca="1"/>
        <v>#N/A</v>
      </c>
      <c r="P220" s="2" t="e">
        <f ca="1"/>
        <v>#N/A</v>
      </c>
      <c r="Q220" s="2" t="s">
        <v>5</v>
      </c>
      <c r="R220" s="2" t="s">
        <v>5</v>
      </c>
      <c r="U220" s="2"/>
      <c r="V220" s="2" t="s">
        <v>5</v>
      </c>
      <c r="W220" s="2" t="s">
        <v>5</v>
      </c>
      <c r="X220" s="29" t="s">
        <v>5</v>
      </c>
      <c r="Y220" s="30" t="s">
        <v>5</v>
      </c>
      <c r="Z220" s="29" t="s">
        <v>5</v>
      </c>
      <c r="AA220" s="30" t="s">
        <v>5</v>
      </c>
      <c r="AB220" s="29" t="s">
        <v>5</v>
      </c>
      <c r="AC220" s="29" t="s">
        <v>5</v>
      </c>
      <c r="AD220" s="29" t="s">
        <v>5</v>
      </c>
      <c r="AE220" s="29" t="s">
        <v>5</v>
      </c>
      <c r="AF220" s="29" t="s">
        <v>5</v>
      </c>
      <c r="AG220" s="29" t="s">
        <v>5</v>
      </c>
      <c r="AH220" s="2" t="s">
        <v>5</v>
      </c>
      <c r="AI220" s="2" t="s">
        <v>5</v>
      </c>
      <c r="AJ220" s="2" t="s">
        <v>5</v>
      </c>
      <c r="AK220" s="2" t="s">
        <v>5</v>
      </c>
    </row>
    <row r="221" spans="2:37" ht="12.5">
      <c r="B221" s="2" t="str">
        <f ca="1">IFERROR(__xludf.DUMMYFUNCTION("""COMPUTED_VALUE"""),"秋田北鷹高")</f>
        <v>秋田北鷹高</v>
      </c>
      <c r="C221" s="2" t="e">
        <f ca="1"/>
        <v>#N/A</v>
      </c>
      <c r="D221" s="2" t="e">
        <f ca="1"/>
        <v>#REF!</v>
      </c>
      <c r="E221" s="29" t="e">
        <f ca="1"/>
        <v>#REF!</v>
      </c>
      <c r="F221" s="30" t="e">
        <f ca="1"/>
        <v>#REF!</v>
      </c>
      <c r="G221" s="29" t="e">
        <f ca="1"/>
        <v>#REF!</v>
      </c>
      <c r="H221" s="30" t="e">
        <f ca="1"/>
        <v>#REF!</v>
      </c>
      <c r="I221" s="29" t="e">
        <f ca="1"/>
        <v>#REF!</v>
      </c>
      <c r="J221" s="29" t="e">
        <f ca="1"/>
        <v>#REF!</v>
      </c>
      <c r="K221" s="29" t="e">
        <f ca="1"/>
        <v>#REF!</v>
      </c>
      <c r="L221" s="29" t="e">
        <f ca="1"/>
        <v>#REF!</v>
      </c>
      <c r="M221" s="29" t="e">
        <f ca="1"/>
        <v>#REF!</v>
      </c>
      <c r="N221" s="29" t="e">
        <f ca="1"/>
        <v>#REF!</v>
      </c>
      <c r="O221" s="2" t="e">
        <f ca="1"/>
        <v>#N/A</v>
      </c>
      <c r="P221" s="2" t="e">
        <f ca="1"/>
        <v>#N/A</v>
      </c>
      <c r="Q221" s="2" t="s">
        <v>5</v>
      </c>
      <c r="R221" s="2" t="s">
        <v>5</v>
      </c>
      <c r="U221" s="2"/>
      <c r="V221" s="2" t="s">
        <v>5</v>
      </c>
      <c r="W221" s="2" t="s">
        <v>5</v>
      </c>
      <c r="X221" s="29" t="s">
        <v>5</v>
      </c>
      <c r="Y221" s="30" t="s">
        <v>5</v>
      </c>
      <c r="Z221" s="29" t="s">
        <v>5</v>
      </c>
      <c r="AA221" s="30" t="s">
        <v>5</v>
      </c>
      <c r="AB221" s="29" t="s">
        <v>5</v>
      </c>
      <c r="AC221" s="29" t="s">
        <v>5</v>
      </c>
      <c r="AD221" s="29" t="s">
        <v>5</v>
      </c>
      <c r="AE221" s="29" t="s">
        <v>5</v>
      </c>
      <c r="AF221" s="29" t="s">
        <v>5</v>
      </c>
      <c r="AG221" s="29" t="s">
        <v>5</v>
      </c>
      <c r="AH221" s="2" t="s">
        <v>5</v>
      </c>
      <c r="AI221" s="2" t="s">
        <v>5</v>
      </c>
      <c r="AJ221" s="2" t="s">
        <v>5</v>
      </c>
      <c r="AK221" s="2" t="s">
        <v>5</v>
      </c>
    </row>
    <row r="222" spans="2:37" ht="12.5">
      <c r="B222" s="2" t="str">
        <f ca="1">IFERROR(__xludf.DUMMYFUNCTION("""COMPUTED_VALUE"""),"和光国際高")</f>
        <v>和光国際高</v>
      </c>
      <c r="C222" s="2" t="e">
        <f ca="1"/>
        <v>#N/A</v>
      </c>
      <c r="D222" s="2" t="e">
        <f ca="1"/>
        <v>#REF!</v>
      </c>
      <c r="E222" s="29" t="e">
        <f ca="1"/>
        <v>#REF!</v>
      </c>
      <c r="F222" s="30" t="e">
        <f ca="1"/>
        <v>#REF!</v>
      </c>
      <c r="G222" s="29" t="e">
        <f ca="1"/>
        <v>#REF!</v>
      </c>
      <c r="H222" s="30" t="e">
        <f ca="1"/>
        <v>#REF!</v>
      </c>
      <c r="I222" s="29" t="e">
        <f ca="1"/>
        <v>#REF!</v>
      </c>
      <c r="J222" s="29" t="e">
        <f ca="1"/>
        <v>#REF!</v>
      </c>
      <c r="K222" s="29" t="e">
        <f ca="1"/>
        <v>#REF!</v>
      </c>
      <c r="L222" s="29" t="e">
        <f ca="1"/>
        <v>#REF!</v>
      </c>
      <c r="M222" s="29" t="e">
        <f ca="1"/>
        <v>#REF!</v>
      </c>
      <c r="N222" s="29" t="e">
        <f ca="1"/>
        <v>#REF!</v>
      </c>
      <c r="O222" s="2" t="e">
        <f ca="1"/>
        <v>#N/A</v>
      </c>
      <c r="P222" s="2" t="e">
        <f ca="1"/>
        <v>#N/A</v>
      </c>
      <c r="Q222" s="2" t="s">
        <v>5</v>
      </c>
      <c r="R222" s="2" t="s">
        <v>5</v>
      </c>
      <c r="U222" s="2"/>
      <c r="V222" s="2" t="s">
        <v>5</v>
      </c>
      <c r="W222" s="2" t="s">
        <v>5</v>
      </c>
      <c r="X222" s="29" t="s">
        <v>5</v>
      </c>
      <c r="Y222" s="30" t="s">
        <v>5</v>
      </c>
      <c r="Z222" s="29" t="s">
        <v>5</v>
      </c>
      <c r="AA222" s="30" t="s">
        <v>5</v>
      </c>
      <c r="AB222" s="29" t="s">
        <v>5</v>
      </c>
      <c r="AC222" s="29" t="s">
        <v>5</v>
      </c>
      <c r="AD222" s="29" t="s">
        <v>5</v>
      </c>
      <c r="AE222" s="29" t="s">
        <v>5</v>
      </c>
      <c r="AF222" s="29" t="s">
        <v>5</v>
      </c>
      <c r="AG222" s="29" t="s">
        <v>5</v>
      </c>
      <c r="AH222" s="2" t="s">
        <v>5</v>
      </c>
      <c r="AI222" s="2" t="s">
        <v>5</v>
      </c>
      <c r="AJ222" s="2" t="s">
        <v>5</v>
      </c>
      <c r="AK222" s="2" t="s">
        <v>5</v>
      </c>
    </row>
    <row r="223" spans="2:37" ht="12.5">
      <c r="B223" s="2" t="str">
        <f ca="1">IFERROR(__xludf.DUMMYFUNCTION("""COMPUTED_VALUE"""),"フェリス女学院高")</f>
        <v>フェリス女学院高</v>
      </c>
      <c r="C223" s="2" t="e">
        <f ca="1"/>
        <v>#N/A</v>
      </c>
      <c r="D223" s="2" t="e">
        <f ca="1"/>
        <v>#REF!</v>
      </c>
      <c r="E223" s="29" t="e">
        <f ca="1"/>
        <v>#REF!</v>
      </c>
      <c r="F223" s="30" t="e">
        <f ca="1"/>
        <v>#REF!</v>
      </c>
      <c r="G223" s="29" t="e">
        <f ca="1"/>
        <v>#REF!</v>
      </c>
      <c r="H223" s="30" t="e">
        <f ca="1"/>
        <v>#REF!</v>
      </c>
      <c r="I223" s="29" t="e">
        <f ca="1"/>
        <v>#REF!</v>
      </c>
      <c r="J223" s="29" t="e">
        <f ca="1"/>
        <v>#REF!</v>
      </c>
      <c r="K223" s="29" t="e">
        <f ca="1"/>
        <v>#REF!</v>
      </c>
      <c r="L223" s="29" t="e">
        <f ca="1"/>
        <v>#REF!</v>
      </c>
      <c r="M223" s="29" t="e">
        <f ca="1"/>
        <v>#REF!</v>
      </c>
      <c r="N223" s="29" t="e">
        <f ca="1"/>
        <v>#REF!</v>
      </c>
      <c r="O223" s="2" t="e">
        <f ca="1"/>
        <v>#N/A</v>
      </c>
      <c r="P223" s="2" t="e">
        <f ca="1"/>
        <v>#N/A</v>
      </c>
      <c r="Q223" s="2" t="s">
        <v>5</v>
      </c>
      <c r="R223" s="2" t="s">
        <v>5</v>
      </c>
      <c r="U223" s="2"/>
      <c r="V223" s="2" t="s">
        <v>5</v>
      </c>
      <c r="W223" s="2" t="s">
        <v>5</v>
      </c>
      <c r="X223" s="29" t="s">
        <v>5</v>
      </c>
      <c r="Y223" s="30" t="s">
        <v>5</v>
      </c>
      <c r="Z223" s="29" t="s">
        <v>5</v>
      </c>
      <c r="AA223" s="30" t="s">
        <v>5</v>
      </c>
      <c r="AB223" s="29" t="s">
        <v>5</v>
      </c>
      <c r="AC223" s="29" t="s">
        <v>5</v>
      </c>
      <c r="AD223" s="29" t="s">
        <v>5</v>
      </c>
      <c r="AE223" s="29" t="s">
        <v>5</v>
      </c>
      <c r="AF223" s="29" t="s">
        <v>5</v>
      </c>
      <c r="AG223" s="29" t="s">
        <v>5</v>
      </c>
      <c r="AH223" s="2" t="s">
        <v>5</v>
      </c>
      <c r="AI223" s="2" t="s">
        <v>5</v>
      </c>
      <c r="AJ223" s="2" t="s">
        <v>5</v>
      </c>
      <c r="AK223" s="2" t="s">
        <v>5</v>
      </c>
    </row>
    <row r="224" spans="2:37" ht="12.5">
      <c r="B224" s="2" t="str">
        <f ca="1">IFERROR(__xludf.DUMMYFUNCTION("""COMPUTED_VALUE"""),"秦野高")</f>
        <v>秦野高</v>
      </c>
      <c r="C224" s="2" t="e">
        <f ca="1"/>
        <v>#N/A</v>
      </c>
      <c r="D224" s="2" t="e">
        <f ca="1"/>
        <v>#REF!</v>
      </c>
      <c r="E224" s="29" t="e">
        <f ca="1"/>
        <v>#REF!</v>
      </c>
      <c r="F224" s="30" t="e">
        <f ca="1"/>
        <v>#REF!</v>
      </c>
      <c r="G224" s="29" t="e">
        <f ca="1"/>
        <v>#REF!</v>
      </c>
      <c r="H224" s="30" t="e">
        <f ca="1"/>
        <v>#REF!</v>
      </c>
      <c r="I224" s="29" t="e">
        <f ca="1"/>
        <v>#REF!</v>
      </c>
      <c r="J224" s="29" t="e">
        <f ca="1"/>
        <v>#REF!</v>
      </c>
      <c r="K224" s="29" t="e">
        <f ca="1"/>
        <v>#REF!</v>
      </c>
      <c r="L224" s="29" t="e">
        <f ca="1"/>
        <v>#REF!</v>
      </c>
      <c r="M224" s="29" t="e">
        <f ca="1"/>
        <v>#REF!</v>
      </c>
      <c r="N224" s="29" t="e">
        <f ca="1"/>
        <v>#REF!</v>
      </c>
      <c r="O224" s="2" t="e">
        <f ca="1"/>
        <v>#N/A</v>
      </c>
      <c r="P224" s="2" t="e">
        <f ca="1"/>
        <v>#N/A</v>
      </c>
      <c r="Q224" s="2" t="s">
        <v>5</v>
      </c>
      <c r="R224" s="2" t="s">
        <v>5</v>
      </c>
      <c r="U224" s="2"/>
      <c r="V224" s="2" t="s">
        <v>5</v>
      </c>
      <c r="W224" s="2" t="s">
        <v>5</v>
      </c>
      <c r="X224" s="29" t="s">
        <v>5</v>
      </c>
      <c r="Y224" s="30" t="s">
        <v>5</v>
      </c>
      <c r="Z224" s="29" t="s">
        <v>5</v>
      </c>
      <c r="AA224" s="30" t="s">
        <v>5</v>
      </c>
      <c r="AB224" s="29" t="s">
        <v>5</v>
      </c>
      <c r="AC224" s="29" t="s">
        <v>5</v>
      </c>
      <c r="AD224" s="29" t="s">
        <v>5</v>
      </c>
      <c r="AE224" s="29" t="s">
        <v>5</v>
      </c>
      <c r="AF224" s="29" t="s">
        <v>5</v>
      </c>
      <c r="AG224" s="29" t="s">
        <v>5</v>
      </c>
      <c r="AH224" s="2" t="s">
        <v>5</v>
      </c>
      <c r="AI224" s="2" t="s">
        <v>5</v>
      </c>
      <c r="AJ224" s="2" t="s">
        <v>5</v>
      </c>
      <c r="AK224" s="2" t="s">
        <v>5</v>
      </c>
    </row>
    <row r="225" spans="2:37" ht="12.5">
      <c r="B225" s="2" t="str">
        <f ca="1">IFERROR(__xludf.DUMMYFUNCTION("""COMPUTED_VALUE"""),"三条高")</f>
        <v>三条高</v>
      </c>
      <c r="C225" s="2" t="e">
        <f ca="1"/>
        <v>#N/A</v>
      </c>
      <c r="D225" s="2" t="e">
        <f ca="1"/>
        <v>#REF!</v>
      </c>
      <c r="E225" s="29" t="e">
        <f ca="1"/>
        <v>#REF!</v>
      </c>
      <c r="F225" s="30" t="e">
        <f ca="1"/>
        <v>#REF!</v>
      </c>
      <c r="G225" s="29" t="e">
        <f ca="1"/>
        <v>#REF!</v>
      </c>
      <c r="H225" s="30" t="e">
        <f ca="1"/>
        <v>#REF!</v>
      </c>
      <c r="I225" s="29" t="e">
        <f ca="1"/>
        <v>#REF!</v>
      </c>
      <c r="J225" s="29" t="e">
        <f ca="1"/>
        <v>#REF!</v>
      </c>
      <c r="K225" s="29" t="e">
        <f ca="1"/>
        <v>#REF!</v>
      </c>
      <c r="L225" s="29" t="e">
        <f ca="1"/>
        <v>#REF!</v>
      </c>
      <c r="M225" s="29" t="e">
        <f ca="1"/>
        <v>#REF!</v>
      </c>
      <c r="N225" s="29" t="e">
        <f ca="1"/>
        <v>#REF!</v>
      </c>
      <c r="O225" s="2" t="e">
        <f ca="1"/>
        <v>#N/A</v>
      </c>
      <c r="P225" s="2" t="e">
        <f ca="1"/>
        <v>#N/A</v>
      </c>
      <c r="Q225" s="2" t="s">
        <v>5</v>
      </c>
      <c r="R225" s="2" t="s">
        <v>5</v>
      </c>
      <c r="U225" s="2"/>
      <c r="V225" s="2" t="s">
        <v>5</v>
      </c>
      <c r="W225" s="2" t="s">
        <v>5</v>
      </c>
      <c r="X225" s="29" t="s">
        <v>5</v>
      </c>
      <c r="Y225" s="30" t="s">
        <v>5</v>
      </c>
      <c r="Z225" s="29" t="s">
        <v>5</v>
      </c>
      <c r="AA225" s="30" t="s">
        <v>5</v>
      </c>
      <c r="AB225" s="29" t="s">
        <v>5</v>
      </c>
      <c r="AC225" s="29" t="s">
        <v>5</v>
      </c>
      <c r="AD225" s="29" t="s">
        <v>5</v>
      </c>
      <c r="AE225" s="29" t="s">
        <v>5</v>
      </c>
      <c r="AF225" s="29" t="s">
        <v>5</v>
      </c>
      <c r="AG225" s="29" t="s">
        <v>5</v>
      </c>
      <c r="AH225" s="2" t="s">
        <v>5</v>
      </c>
      <c r="AI225" s="2" t="s">
        <v>5</v>
      </c>
      <c r="AJ225" s="2" t="s">
        <v>5</v>
      </c>
      <c r="AK225" s="2" t="s">
        <v>5</v>
      </c>
    </row>
    <row r="226" spans="2:37" ht="12.5">
      <c r="B226" s="2" t="str">
        <f ca="1">IFERROR(__xludf.DUMMYFUNCTION("""COMPUTED_VALUE"""),"小松高")</f>
        <v>小松高</v>
      </c>
      <c r="C226" s="2" t="e">
        <f ca="1"/>
        <v>#N/A</v>
      </c>
      <c r="D226" s="2" t="e">
        <f ca="1"/>
        <v>#REF!</v>
      </c>
      <c r="E226" s="29" t="e">
        <f ca="1"/>
        <v>#REF!</v>
      </c>
      <c r="F226" s="30" t="e">
        <f ca="1"/>
        <v>#REF!</v>
      </c>
      <c r="G226" s="29" t="e">
        <f ca="1"/>
        <v>#REF!</v>
      </c>
      <c r="H226" s="30" t="e">
        <f ca="1"/>
        <v>#REF!</v>
      </c>
      <c r="I226" s="29" t="e">
        <f ca="1"/>
        <v>#REF!</v>
      </c>
      <c r="J226" s="29" t="e">
        <f ca="1"/>
        <v>#REF!</v>
      </c>
      <c r="K226" s="29" t="e">
        <f ca="1"/>
        <v>#REF!</v>
      </c>
      <c r="L226" s="29" t="e">
        <f ca="1"/>
        <v>#REF!</v>
      </c>
      <c r="M226" s="29" t="e">
        <f ca="1"/>
        <v>#REF!</v>
      </c>
      <c r="N226" s="29" t="e">
        <f ca="1"/>
        <v>#REF!</v>
      </c>
      <c r="O226" s="2" t="e">
        <f ca="1"/>
        <v>#N/A</v>
      </c>
      <c r="P226" s="2" t="e">
        <f ca="1"/>
        <v>#N/A</v>
      </c>
      <c r="Q226" s="2" t="s">
        <v>5</v>
      </c>
      <c r="R226" s="2" t="s">
        <v>5</v>
      </c>
      <c r="U226" s="2"/>
      <c r="V226" s="2" t="s">
        <v>5</v>
      </c>
      <c r="W226" s="2" t="s">
        <v>5</v>
      </c>
      <c r="X226" s="29" t="s">
        <v>5</v>
      </c>
      <c r="Y226" s="30" t="s">
        <v>5</v>
      </c>
      <c r="Z226" s="29" t="s">
        <v>5</v>
      </c>
      <c r="AA226" s="30" t="s">
        <v>5</v>
      </c>
      <c r="AB226" s="29" t="s">
        <v>5</v>
      </c>
      <c r="AC226" s="29" t="s">
        <v>5</v>
      </c>
      <c r="AD226" s="29" t="s">
        <v>5</v>
      </c>
      <c r="AE226" s="29" t="s">
        <v>5</v>
      </c>
      <c r="AF226" s="29" t="s">
        <v>5</v>
      </c>
      <c r="AG226" s="29" t="s">
        <v>5</v>
      </c>
      <c r="AH226" s="2" t="s">
        <v>5</v>
      </c>
      <c r="AI226" s="2" t="s">
        <v>5</v>
      </c>
      <c r="AJ226" s="2" t="s">
        <v>5</v>
      </c>
      <c r="AK226" s="2" t="s">
        <v>5</v>
      </c>
    </row>
    <row r="227" spans="2:37" ht="12.5">
      <c r="B227" s="2" t="str">
        <f ca="1">IFERROR(__xludf.DUMMYFUNCTION("""COMPUTED_VALUE"""),"愛知工大名電高")</f>
        <v>愛知工大名電高</v>
      </c>
      <c r="C227" s="2" t="e">
        <f ca="1"/>
        <v>#N/A</v>
      </c>
      <c r="D227" s="2" t="e">
        <f ca="1"/>
        <v>#REF!</v>
      </c>
      <c r="E227" s="29" t="e">
        <f ca="1"/>
        <v>#REF!</v>
      </c>
      <c r="F227" s="30" t="e">
        <f ca="1"/>
        <v>#REF!</v>
      </c>
      <c r="G227" s="29" t="e">
        <f ca="1"/>
        <v>#REF!</v>
      </c>
      <c r="H227" s="30" t="e">
        <f ca="1"/>
        <v>#REF!</v>
      </c>
      <c r="I227" s="29" t="e">
        <f ca="1"/>
        <v>#REF!</v>
      </c>
      <c r="J227" s="29" t="e">
        <f ca="1"/>
        <v>#REF!</v>
      </c>
      <c r="K227" s="29" t="e">
        <f ca="1"/>
        <v>#REF!</v>
      </c>
      <c r="L227" s="29" t="e">
        <f ca="1"/>
        <v>#REF!</v>
      </c>
      <c r="M227" s="29" t="e">
        <f ca="1"/>
        <v>#REF!</v>
      </c>
      <c r="N227" s="29" t="e">
        <f ca="1"/>
        <v>#REF!</v>
      </c>
      <c r="O227" s="2" t="e">
        <f ca="1"/>
        <v>#N/A</v>
      </c>
      <c r="P227" s="2" t="e">
        <f ca="1"/>
        <v>#N/A</v>
      </c>
      <c r="Q227" s="2" t="s">
        <v>5</v>
      </c>
      <c r="R227" s="2" t="s">
        <v>5</v>
      </c>
      <c r="U227" s="2"/>
      <c r="V227" s="2" t="s">
        <v>5</v>
      </c>
      <c r="W227" s="2" t="s">
        <v>5</v>
      </c>
      <c r="X227" s="29" t="s">
        <v>5</v>
      </c>
      <c r="Y227" s="30" t="s">
        <v>5</v>
      </c>
      <c r="Z227" s="29" t="s">
        <v>5</v>
      </c>
      <c r="AA227" s="30" t="s">
        <v>5</v>
      </c>
      <c r="AB227" s="29" t="s">
        <v>5</v>
      </c>
      <c r="AC227" s="29" t="s">
        <v>5</v>
      </c>
      <c r="AD227" s="29" t="s">
        <v>5</v>
      </c>
      <c r="AE227" s="29" t="s">
        <v>5</v>
      </c>
      <c r="AF227" s="29" t="s">
        <v>5</v>
      </c>
      <c r="AG227" s="29" t="s">
        <v>5</v>
      </c>
      <c r="AH227" s="2" t="s">
        <v>5</v>
      </c>
      <c r="AI227" s="2" t="s">
        <v>5</v>
      </c>
      <c r="AJ227" s="2" t="s">
        <v>5</v>
      </c>
      <c r="AK227" s="2" t="s">
        <v>5</v>
      </c>
    </row>
    <row r="228" spans="2:37" ht="12.5">
      <c r="B228" s="2" t="str">
        <f ca="1">IFERROR(__xludf.DUMMYFUNCTION("""COMPUTED_VALUE"""),"桑名高")</f>
        <v>桑名高</v>
      </c>
      <c r="C228" s="2" t="e">
        <f ca="1"/>
        <v>#N/A</v>
      </c>
      <c r="D228" s="2" t="e">
        <f ca="1"/>
        <v>#REF!</v>
      </c>
      <c r="E228" s="29" t="e">
        <f ca="1"/>
        <v>#REF!</v>
      </c>
      <c r="F228" s="30" t="e">
        <f ca="1"/>
        <v>#REF!</v>
      </c>
      <c r="G228" s="29" t="e">
        <f ca="1"/>
        <v>#REF!</v>
      </c>
      <c r="H228" s="30" t="e">
        <f ca="1"/>
        <v>#REF!</v>
      </c>
      <c r="I228" s="29" t="e">
        <f ca="1"/>
        <v>#REF!</v>
      </c>
      <c r="J228" s="29" t="e">
        <f ca="1"/>
        <v>#REF!</v>
      </c>
      <c r="K228" s="29" t="e">
        <f ca="1"/>
        <v>#REF!</v>
      </c>
      <c r="L228" s="29" t="e">
        <f ca="1"/>
        <v>#REF!</v>
      </c>
      <c r="M228" s="29" t="e">
        <f ca="1"/>
        <v>#REF!</v>
      </c>
      <c r="N228" s="29" t="e">
        <f ca="1"/>
        <v>#REF!</v>
      </c>
      <c r="O228" s="2" t="e">
        <f ca="1"/>
        <v>#N/A</v>
      </c>
      <c r="P228" s="2" t="e">
        <f ca="1"/>
        <v>#N/A</v>
      </c>
      <c r="Q228" s="2" t="s">
        <v>5</v>
      </c>
      <c r="R228" s="2" t="s">
        <v>5</v>
      </c>
      <c r="U228" s="2"/>
      <c r="V228" s="2" t="s">
        <v>5</v>
      </c>
      <c r="W228" s="2" t="s">
        <v>5</v>
      </c>
      <c r="X228" s="29" t="s">
        <v>5</v>
      </c>
      <c r="Y228" s="30" t="s">
        <v>5</v>
      </c>
      <c r="Z228" s="29" t="s">
        <v>5</v>
      </c>
      <c r="AA228" s="30" t="s">
        <v>5</v>
      </c>
      <c r="AB228" s="29" t="s">
        <v>5</v>
      </c>
      <c r="AC228" s="29" t="s">
        <v>5</v>
      </c>
      <c r="AD228" s="29" t="s">
        <v>5</v>
      </c>
      <c r="AE228" s="29" t="s">
        <v>5</v>
      </c>
      <c r="AF228" s="29" t="s">
        <v>5</v>
      </c>
      <c r="AG228" s="29" t="s">
        <v>5</v>
      </c>
      <c r="AH228" s="2" t="s">
        <v>5</v>
      </c>
      <c r="AI228" s="2" t="s">
        <v>5</v>
      </c>
      <c r="AJ228" s="2" t="s">
        <v>5</v>
      </c>
      <c r="AK228" s="2" t="s">
        <v>5</v>
      </c>
    </row>
    <row r="229" spans="2:37" ht="12.5">
      <c r="B229" s="2" t="str">
        <f ca="1">IFERROR(__xludf.DUMMYFUNCTION("""COMPUTED_VALUE"""),"金蘭千里高")</f>
        <v>金蘭千里高</v>
      </c>
      <c r="C229" s="2" t="e">
        <f ca="1"/>
        <v>#N/A</v>
      </c>
      <c r="D229" s="2" t="e">
        <f ca="1"/>
        <v>#REF!</v>
      </c>
      <c r="E229" s="29" t="e">
        <f ca="1"/>
        <v>#REF!</v>
      </c>
      <c r="F229" s="30" t="e">
        <f ca="1"/>
        <v>#REF!</v>
      </c>
      <c r="G229" s="29" t="e">
        <f ca="1"/>
        <v>#REF!</v>
      </c>
      <c r="H229" s="30" t="e">
        <f ca="1"/>
        <v>#REF!</v>
      </c>
      <c r="I229" s="29" t="e">
        <f ca="1"/>
        <v>#REF!</v>
      </c>
      <c r="J229" s="29" t="e">
        <f ca="1"/>
        <v>#REF!</v>
      </c>
      <c r="K229" s="29" t="e">
        <f ca="1"/>
        <v>#REF!</v>
      </c>
      <c r="L229" s="29" t="e">
        <f ca="1"/>
        <v>#REF!</v>
      </c>
      <c r="M229" s="29" t="e">
        <f ca="1"/>
        <v>#REF!</v>
      </c>
      <c r="N229" s="29" t="e">
        <f ca="1"/>
        <v>#REF!</v>
      </c>
      <c r="O229" s="2" t="e">
        <f ca="1"/>
        <v>#N/A</v>
      </c>
      <c r="P229" s="2" t="e">
        <f ca="1"/>
        <v>#N/A</v>
      </c>
      <c r="Q229" s="2" t="s">
        <v>5</v>
      </c>
      <c r="R229" s="2" t="s">
        <v>5</v>
      </c>
      <c r="U229" s="2"/>
      <c r="V229" s="2" t="s">
        <v>5</v>
      </c>
      <c r="W229" s="2" t="s">
        <v>5</v>
      </c>
      <c r="X229" s="29" t="s">
        <v>5</v>
      </c>
      <c r="Y229" s="30" t="s">
        <v>5</v>
      </c>
      <c r="Z229" s="29" t="s">
        <v>5</v>
      </c>
      <c r="AA229" s="30" t="s">
        <v>5</v>
      </c>
      <c r="AB229" s="29" t="s">
        <v>5</v>
      </c>
      <c r="AC229" s="29" t="s">
        <v>5</v>
      </c>
      <c r="AD229" s="29" t="s">
        <v>5</v>
      </c>
      <c r="AE229" s="29" t="s">
        <v>5</v>
      </c>
      <c r="AF229" s="29" t="s">
        <v>5</v>
      </c>
      <c r="AG229" s="29" t="s">
        <v>5</v>
      </c>
      <c r="AH229" s="2" t="s">
        <v>5</v>
      </c>
      <c r="AI229" s="2" t="s">
        <v>5</v>
      </c>
      <c r="AJ229" s="2" t="s">
        <v>5</v>
      </c>
      <c r="AK229" s="2" t="s">
        <v>5</v>
      </c>
    </row>
    <row r="230" spans="2:37" ht="12.5">
      <c r="B230" s="2" t="str">
        <f ca="1">IFERROR(__xludf.DUMMYFUNCTION("""COMPUTED_VALUE"""),"小野田高")</f>
        <v>小野田高</v>
      </c>
      <c r="C230" s="2" t="e">
        <f ca="1"/>
        <v>#N/A</v>
      </c>
      <c r="D230" s="2" t="e">
        <f ca="1"/>
        <v>#REF!</v>
      </c>
      <c r="E230" s="29" t="e">
        <f ca="1"/>
        <v>#REF!</v>
      </c>
      <c r="F230" s="30" t="e">
        <f ca="1"/>
        <v>#REF!</v>
      </c>
      <c r="G230" s="29" t="e">
        <f ca="1"/>
        <v>#REF!</v>
      </c>
      <c r="H230" s="30" t="e">
        <f ca="1"/>
        <v>#REF!</v>
      </c>
      <c r="I230" s="29" t="e">
        <f ca="1"/>
        <v>#REF!</v>
      </c>
      <c r="J230" s="29" t="e">
        <f ca="1"/>
        <v>#REF!</v>
      </c>
      <c r="K230" s="29" t="e">
        <f ca="1"/>
        <v>#REF!</v>
      </c>
      <c r="L230" s="29" t="e">
        <f ca="1"/>
        <v>#REF!</v>
      </c>
      <c r="M230" s="29" t="e">
        <f ca="1"/>
        <v>#REF!</v>
      </c>
      <c r="N230" s="29" t="e">
        <f ca="1"/>
        <v>#REF!</v>
      </c>
      <c r="O230" s="2" t="e">
        <f ca="1"/>
        <v>#N/A</v>
      </c>
      <c r="P230" s="2" t="e">
        <f ca="1"/>
        <v>#N/A</v>
      </c>
      <c r="Q230" s="2" t="s">
        <v>5</v>
      </c>
      <c r="R230" s="2" t="s">
        <v>5</v>
      </c>
      <c r="U230" s="2"/>
      <c r="V230" s="2" t="s">
        <v>5</v>
      </c>
      <c r="W230" s="2" t="s">
        <v>5</v>
      </c>
      <c r="X230" s="29" t="s">
        <v>5</v>
      </c>
      <c r="Y230" s="30" t="s">
        <v>5</v>
      </c>
      <c r="Z230" s="29" t="s">
        <v>5</v>
      </c>
      <c r="AA230" s="30" t="s">
        <v>5</v>
      </c>
      <c r="AB230" s="29" t="s">
        <v>5</v>
      </c>
      <c r="AC230" s="29" t="s">
        <v>5</v>
      </c>
      <c r="AD230" s="29" t="s">
        <v>5</v>
      </c>
      <c r="AE230" s="29" t="s">
        <v>5</v>
      </c>
      <c r="AF230" s="29" t="s">
        <v>5</v>
      </c>
      <c r="AG230" s="29" t="s">
        <v>5</v>
      </c>
      <c r="AH230" s="2" t="s">
        <v>5</v>
      </c>
      <c r="AI230" s="2" t="s">
        <v>5</v>
      </c>
      <c r="AJ230" s="2" t="s">
        <v>5</v>
      </c>
      <c r="AK230" s="2" t="s">
        <v>5</v>
      </c>
    </row>
    <row r="231" spans="2:37" ht="12.5">
      <c r="B231" s="2" t="str">
        <f ca="1">IFERROR(__xludf.DUMMYFUNCTION("""COMPUTED_VALUE"""),"神奈川総合高")</f>
        <v>神奈川総合高</v>
      </c>
      <c r="C231" s="2" t="e">
        <f ca="1"/>
        <v>#N/A</v>
      </c>
      <c r="D231" s="2" t="e">
        <f ca="1"/>
        <v>#REF!</v>
      </c>
      <c r="E231" s="29" t="e">
        <f ca="1"/>
        <v>#REF!</v>
      </c>
      <c r="F231" s="30" t="e">
        <f ca="1"/>
        <v>#REF!</v>
      </c>
      <c r="G231" s="29" t="e">
        <f ca="1"/>
        <v>#REF!</v>
      </c>
      <c r="H231" s="30" t="e">
        <f ca="1"/>
        <v>#REF!</v>
      </c>
      <c r="I231" s="29" t="e">
        <f ca="1"/>
        <v>#REF!</v>
      </c>
      <c r="J231" s="29" t="e">
        <f ca="1"/>
        <v>#REF!</v>
      </c>
      <c r="K231" s="29" t="e">
        <f ca="1"/>
        <v>#REF!</v>
      </c>
      <c r="L231" s="29" t="e">
        <f ca="1"/>
        <v>#REF!</v>
      </c>
      <c r="M231" s="29" t="e">
        <f ca="1"/>
        <v>#REF!</v>
      </c>
      <c r="N231" s="29" t="e">
        <f ca="1"/>
        <v>#REF!</v>
      </c>
      <c r="O231" s="2" t="e">
        <f ca="1"/>
        <v>#N/A</v>
      </c>
      <c r="P231" s="2" t="e">
        <f ca="1"/>
        <v>#N/A</v>
      </c>
      <c r="Q231" s="2" t="s">
        <v>5</v>
      </c>
      <c r="R231" s="2" t="s">
        <v>5</v>
      </c>
      <c r="U231" s="2"/>
      <c r="V231" s="2" t="s">
        <v>5</v>
      </c>
      <c r="W231" s="2" t="s">
        <v>5</v>
      </c>
      <c r="X231" s="29" t="s">
        <v>5</v>
      </c>
      <c r="Y231" s="30" t="s">
        <v>5</v>
      </c>
      <c r="Z231" s="29" t="s">
        <v>5</v>
      </c>
      <c r="AA231" s="30" t="s">
        <v>5</v>
      </c>
      <c r="AB231" s="29" t="s">
        <v>5</v>
      </c>
      <c r="AC231" s="29" t="s">
        <v>5</v>
      </c>
      <c r="AD231" s="29" t="s">
        <v>5</v>
      </c>
      <c r="AE231" s="29" t="s">
        <v>5</v>
      </c>
      <c r="AF231" s="29" t="s">
        <v>5</v>
      </c>
      <c r="AG231" s="29" t="s">
        <v>5</v>
      </c>
      <c r="AH231" s="2" t="s">
        <v>5</v>
      </c>
      <c r="AI231" s="2" t="s">
        <v>5</v>
      </c>
      <c r="AJ231" s="2" t="s">
        <v>5</v>
      </c>
      <c r="AK231" s="2" t="s">
        <v>5</v>
      </c>
    </row>
    <row r="232" spans="2:37" ht="12.5">
      <c r="B232" s="2" t="str">
        <f ca="1">IFERROR(__xludf.DUMMYFUNCTION("""COMPUTED_VALUE"""),"金沢二水高")</f>
        <v>金沢二水高</v>
      </c>
      <c r="C232" s="2" t="e">
        <f ca="1"/>
        <v>#N/A</v>
      </c>
      <c r="D232" s="2" t="e">
        <f ca="1"/>
        <v>#REF!</v>
      </c>
      <c r="E232" s="29" t="e">
        <f ca="1"/>
        <v>#REF!</v>
      </c>
      <c r="F232" s="30" t="e">
        <f ca="1"/>
        <v>#REF!</v>
      </c>
      <c r="G232" s="29" t="e">
        <f ca="1"/>
        <v>#REF!</v>
      </c>
      <c r="H232" s="30" t="e">
        <f ca="1"/>
        <v>#REF!</v>
      </c>
      <c r="I232" s="29" t="e">
        <f ca="1"/>
        <v>#REF!</v>
      </c>
      <c r="J232" s="29" t="e">
        <f ca="1"/>
        <v>#REF!</v>
      </c>
      <c r="K232" s="29" t="e">
        <f ca="1"/>
        <v>#REF!</v>
      </c>
      <c r="L232" s="29" t="e">
        <f ca="1"/>
        <v>#REF!</v>
      </c>
      <c r="M232" s="29" t="e">
        <f ca="1"/>
        <v>#REF!</v>
      </c>
      <c r="N232" s="29" t="e">
        <f ca="1"/>
        <v>#REF!</v>
      </c>
      <c r="O232" s="2" t="e">
        <f ca="1"/>
        <v>#N/A</v>
      </c>
      <c r="P232" s="2" t="e">
        <f ca="1"/>
        <v>#N/A</v>
      </c>
      <c r="Q232" s="2" t="s">
        <v>5</v>
      </c>
      <c r="R232" s="2" t="s">
        <v>5</v>
      </c>
      <c r="U232" s="2"/>
      <c r="V232" s="2" t="s">
        <v>5</v>
      </c>
      <c r="W232" s="2" t="s">
        <v>5</v>
      </c>
      <c r="X232" s="29" t="s">
        <v>5</v>
      </c>
      <c r="Y232" s="30" t="s">
        <v>5</v>
      </c>
      <c r="Z232" s="29" t="s">
        <v>5</v>
      </c>
      <c r="AA232" s="30" t="s">
        <v>5</v>
      </c>
      <c r="AB232" s="29" t="s">
        <v>5</v>
      </c>
      <c r="AC232" s="29" t="s">
        <v>5</v>
      </c>
      <c r="AD232" s="29" t="s">
        <v>5</v>
      </c>
      <c r="AE232" s="29" t="s">
        <v>5</v>
      </c>
      <c r="AF232" s="29" t="s">
        <v>5</v>
      </c>
      <c r="AG232" s="29" t="s">
        <v>5</v>
      </c>
      <c r="AH232" s="2" t="s">
        <v>5</v>
      </c>
      <c r="AI232" s="2" t="s">
        <v>5</v>
      </c>
      <c r="AJ232" s="2" t="s">
        <v>5</v>
      </c>
      <c r="AK232" s="2" t="s">
        <v>5</v>
      </c>
    </row>
    <row r="233" spans="2:37" ht="12.5">
      <c r="B233" s="2" t="str">
        <f ca="1">IFERROR(__xludf.DUMMYFUNCTION("""COMPUTED_VALUE"""),"浜松学芸高")</f>
        <v>浜松学芸高</v>
      </c>
      <c r="C233" s="2" t="e">
        <f ca="1"/>
        <v>#N/A</v>
      </c>
      <c r="D233" s="2" t="e">
        <f ca="1"/>
        <v>#REF!</v>
      </c>
      <c r="E233" s="29" t="e">
        <f ca="1"/>
        <v>#REF!</v>
      </c>
      <c r="F233" s="30" t="e">
        <f ca="1"/>
        <v>#REF!</v>
      </c>
      <c r="G233" s="29" t="e">
        <f ca="1"/>
        <v>#REF!</v>
      </c>
      <c r="H233" s="30" t="e">
        <f ca="1"/>
        <v>#REF!</v>
      </c>
      <c r="I233" s="29" t="e">
        <f ca="1"/>
        <v>#REF!</v>
      </c>
      <c r="J233" s="29" t="e">
        <f ca="1"/>
        <v>#REF!</v>
      </c>
      <c r="K233" s="29" t="e">
        <f ca="1"/>
        <v>#REF!</v>
      </c>
      <c r="L233" s="29" t="e">
        <f ca="1"/>
        <v>#REF!</v>
      </c>
      <c r="M233" s="29" t="e">
        <f ca="1"/>
        <v>#REF!</v>
      </c>
      <c r="N233" s="29" t="e">
        <f ca="1"/>
        <v>#REF!</v>
      </c>
      <c r="O233" s="2" t="e">
        <f ca="1"/>
        <v>#N/A</v>
      </c>
      <c r="P233" s="2" t="e">
        <f ca="1"/>
        <v>#N/A</v>
      </c>
      <c r="Q233" s="2" t="s">
        <v>5</v>
      </c>
      <c r="R233" s="2" t="s">
        <v>5</v>
      </c>
      <c r="U233" s="2"/>
      <c r="V233" s="2" t="s">
        <v>5</v>
      </c>
      <c r="W233" s="2" t="s">
        <v>5</v>
      </c>
      <c r="X233" s="29" t="s">
        <v>5</v>
      </c>
      <c r="Y233" s="30" t="s">
        <v>5</v>
      </c>
      <c r="Z233" s="29" t="s">
        <v>5</v>
      </c>
      <c r="AA233" s="30" t="s">
        <v>5</v>
      </c>
      <c r="AB233" s="29" t="s">
        <v>5</v>
      </c>
      <c r="AC233" s="29" t="s">
        <v>5</v>
      </c>
      <c r="AD233" s="29" t="s">
        <v>5</v>
      </c>
      <c r="AE233" s="29" t="s">
        <v>5</v>
      </c>
      <c r="AF233" s="29" t="s">
        <v>5</v>
      </c>
      <c r="AG233" s="29" t="s">
        <v>5</v>
      </c>
      <c r="AH233" s="2" t="s">
        <v>5</v>
      </c>
      <c r="AI233" s="2" t="s">
        <v>5</v>
      </c>
      <c r="AJ233" s="2" t="s">
        <v>5</v>
      </c>
      <c r="AK233" s="2" t="s">
        <v>5</v>
      </c>
    </row>
    <row r="234" spans="2:37" ht="12.5">
      <c r="B234" s="2" t="str">
        <f ca="1">IFERROR(__xludf.DUMMYFUNCTION("""COMPUTED_VALUE"""),"開邦高")</f>
        <v>開邦高</v>
      </c>
      <c r="C234" s="2" t="e">
        <f ca="1"/>
        <v>#N/A</v>
      </c>
      <c r="D234" s="2" t="e">
        <f ca="1"/>
        <v>#REF!</v>
      </c>
      <c r="E234" s="29" t="e">
        <f ca="1"/>
        <v>#REF!</v>
      </c>
      <c r="F234" s="30" t="e">
        <f ca="1"/>
        <v>#REF!</v>
      </c>
      <c r="G234" s="29" t="e">
        <f ca="1"/>
        <v>#REF!</v>
      </c>
      <c r="H234" s="30" t="e">
        <f ca="1"/>
        <v>#REF!</v>
      </c>
      <c r="I234" s="29" t="e">
        <f ca="1"/>
        <v>#REF!</v>
      </c>
      <c r="J234" s="29" t="e">
        <f ca="1"/>
        <v>#REF!</v>
      </c>
      <c r="K234" s="29" t="e">
        <f ca="1"/>
        <v>#REF!</v>
      </c>
      <c r="L234" s="29" t="e">
        <f ca="1"/>
        <v>#REF!</v>
      </c>
      <c r="M234" s="29" t="e">
        <f ca="1"/>
        <v>#REF!</v>
      </c>
      <c r="N234" s="29" t="e">
        <f ca="1"/>
        <v>#REF!</v>
      </c>
      <c r="O234" s="2" t="e">
        <f ca="1"/>
        <v>#N/A</v>
      </c>
      <c r="P234" s="2" t="e">
        <f ca="1"/>
        <v>#N/A</v>
      </c>
      <c r="Q234" s="2" t="s">
        <v>5</v>
      </c>
      <c r="R234" s="2" t="s">
        <v>5</v>
      </c>
      <c r="U234" s="2"/>
      <c r="V234" s="2" t="s">
        <v>5</v>
      </c>
      <c r="W234" s="2" t="s">
        <v>5</v>
      </c>
      <c r="X234" s="29" t="s">
        <v>5</v>
      </c>
      <c r="Y234" s="30" t="s">
        <v>5</v>
      </c>
      <c r="Z234" s="29" t="s">
        <v>5</v>
      </c>
      <c r="AA234" s="30" t="s">
        <v>5</v>
      </c>
      <c r="AB234" s="29" t="s">
        <v>5</v>
      </c>
      <c r="AC234" s="29" t="s">
        <v>5</v>
      </c>
      <c r="AD234" s="29" t="s">
        <v>5</v>
      </c>
      <c r="AE234" s="29" t="s">
        <v>5</v>
      </c>
      <c r="AF234" s="29" t="s">
        <v>5</v>
      </c>
      <c r="AG234" s="29" t="s">
        <v>5</v>
      </c>
      <c r="AH234" s="2" t="s">
        <v>5</v>
      </c>
      <c r="AI234" s="2" t="s">
        <v>5</v>
      </c>
      <c r="AJ234" s="2" t="s">
        <v>5</v>
      </c>
      <c r="AK234" s="2" t="s">
        <v>5</v>
      </c>
    </row>
    <row r="235" spans="2:37" ht="12.5">
      <c r="B235" s="2" t="str">
        <f ca="1">IFERROR(__xludf.DUMMYFUNCTION("""COMPUTED_VALUE"""),"國學院高")</f>
        <v>國學院高</v>
      </c>
      <c r="C235" s="2" t="e">
        <f ca="1"/>
        <v>#N/A</v>
      </c>
      <c r="D235" s="2" t="e">
        <f ca="1"/>
        <v>#REF!</v>
      </c>
      <c r="E235" s="29" t="e">
        <f ca="1"/>
        <v>#REF!</v>
      </c>
      <c r="F235" s="30" t="e">
        <f ca="1"/>
        <v>#REF!</v>
      </c>
      <c r="G235" s="29" t="e">
        <f ca="1"/>
        <v>#REF!</v>
      </c>
      <c r="H235" s="30" t="e">
        <f ca="1"/>
        <v>#REF!</v>
      </c>
      <c r="I235" s="29" t="e">
        <f ca="1"/>
        <v>#REF!</v>
      </c>
      <c r="J235" s="29" t="e">
        <f ca="1"/>
        <v>#REF!</v>
      </c>
      <c r="K235" s="29" t="e">
        <f ca="1"/>
        <v>#REF!</v>
      </c>
      <c r="L235" s="29" t="e">
        <f ca="1"/>
        <v>#REF!</v>
      </c>
      <c r="M235" s="29" t="e">
        <f ca="1"/>
        <v>#REF!</v>
      </c>
      <c r="N235" s="29" t="e">
        <f ca="1"/>
        <v>#REF!</v>
      </c>
      <c r="O235" s="2" t="e">
        <f ca="1"/>
        <v>#N/A</v>
      </c>
      <c r="P235" s="2" t="e">
        <f ca="1"/>
        <v>#N/A</v>
      </c>
      <c r="Q235" s="2" t="s">
        <v>5</v>
      </c>
      <c r="R235" s="2" t="s">
        <v>5</v>
      </c>
      <c r="U235" s="2"/>
      <c r="V235" s="2" t="s">
        <v>5</v>
      </c>
      <c r="W235" s="2" t="s">
        <v>5</v>
      </c>
      <c r="X235" s="29" t="s">
        <v>5</v>
      </c>
      <c r="Y235" s="30" t="s">
        <v>5</v>
      </c>
      <c r="Z235" s="29" t="s">
        <v>5</v>
      </c>
      <c r="AA235" s="30" t="s">
        <v>5</v>
      </c>
      <c r="AB235" s="29" t="s">
        <v>5</v>
      </c>
      <c r="AC235" s="29" t="s">
        <v>5</v>
      </c>
      <c r="AD235" s="29" t="s">
        <v>5</v>
      </c>
      <c r="AE235" s="29" t="s">
        <v>5</v>
      </c>
      <c r="AF235" s="29" t="s">
        <v>5</v>
      </c>
      <c r="AG235" s="29" t="s">
        <v>5</v>
      </c>
      <c r="AH235" s="2" t="s">
        <v>5</v>
      </c>
      <c r="AI235" s="2" t="s">
        <v>5</v>
      </c>
      <c r="AJ235" s="2" t="s">
        <v>5</v>
      </c>
      <c r="AK235" s="2" t="s">
        <v>5</v>
      </c>
    </row>
    <row r="236" spans="2:37" ht="12.5">
      <c r="B236" s="2" t="str">
        <f ca="1">IFERROR(__xludf.DUMMYFUNCTION("""COMPUTED_VALUE"""),"駿台甲府高")</f>
        <v>駿台甲府高</v>
      </c>
      <c r="C236" s="2" t="e">
        <f ca="1"/>
        <v>#N/A</v>
      </c>
      <c r="D236" s="2" t="e">
        <f ca="1"/>
        <v>#REF!</v>
      </c>
      <c r="E236" s="29" t="e">
        <f ca="1"/>
        <v>#REF!</v>
      </c>
      <c r="F236" s="30" t="e">
        <f ca="1"/>
        <v>#REF!</v>
      </c>
      <c r="G236" s="29" t="e">
        <f ca="1"/>
        <v>#REF!</v>
      </c>
      <c r="H236" s="30" t="e">
        <f ca="1"/>
        <v>#REF!</v>
      </c>
      <c r="I236" s="29" t="e">
        <f ca="1"/>
        <v>#REF!</v>
      </c>
      <c r="J236" s="29" t="e">
        <f ca="1"/>
        <v>#REF!</v>
      </c>
      <c r="K236" s="29" t="e">
        <f ca="1"/>
        <v>#REF!</v>
      </c>
      <c r="L236" s="29" t="e">
        <f ca="1"/>
        <v>#REF!</v>
      </c>
      <c r="M236" s="29" t="e">
        <f ca="1"/>
        <v>#REF!</v>
      </c>
      <c r="N236" s="29" t="e">
        <f ca="1"/>
        <v>#REF!</v>
      </c>
      <c r="O236" s="2" t="e">
        <f ca="1"/>
        <v>#N/A</v>
      </c>
      <c r="P236" s="2" t="e">
        <f ca="1"/>
        <v>#N/A</v>
      </c>
      <c r="Q236" s="2" t="s">
        <v>5</v>
      </c>
      <c r="R236" s="2" t="s">
        <v>5</v>
      </c>
      <c r="U236" s="2"/>
      <c r="V236" s="2" t="s">
        <v>5</v>
      </c>
      <c r="W236" s="2" t="s">
        <v>5</v>
      </c>
      <c r="X236" s="29" t="s">
        <v>5</v>
      </c>
      <c r="Y236" s="30" t="s">
        <v>5</v>
      </c>
      <c r="Z236" s="29" t="s">
        <v>5</v>
      </c>
      <c r="AA236" s="30" t="s">
        <v>5</v>
      </c>
      <c r="AB236" s="29" t="s">
        <v>5</v>
      </c>
      <c r="AC236" s="29" t="s">
        <v>5</v>
      </c>
      <c r="AD236" s="29" t="s">
        <v>5</v>
      </c>
      <c r="AE236" s="29" t="s">
        <v>5</v>
      </c>
      <c r="AF236" s="29" t="s">
        <v>5</v>
      </c>
      <c r="AG236" s="29" t="s">
        <v>5</v>
      </c>
      <c r="AH236" s="2" t="s">
        <v>5</v>
      </c>
      <c r="AI236" s="2" t="s">
        <v>5</v>
      </c>
      <c r="AJ236" s="2" t="s">
        <v>5</v>
      </c>
      <c r="AK236" s="2" t="s">
        <v>5</v>
      </c>
    </row>
    <row r="237" spans="2:37" ht="12.5">
      <c r="B237" s="2" t="str">
        <f ca="1">IFERROR(__xludf.DUMMYFUNCTION("""COMPUTED_VALUE"""),"国府台女子学院")</f>
        <v>国府台女子学院</v>
      </c>
      <c r="C237" s="2" t="e">
        <f ca="1"/>
        <v>#N/A</v>
      </c>
      <c r="D237" s="2" t="e">
        <f ca="1"/>
        <v>#REF!</v>
      </c>
      <c r="E237" s="29" t="e">
        <f ca="1"/>
        <v>#REF!</v>
      </c>
      <c r="F237" s="30" t="e">
        <f ca="1"/>
        <v>#REF!</v>
      </c>
      <c r="G237" s="29" t="e">
        <f ca="1"/>
        <v>#REF!</v>
      </c>
      <c r="H237" s="30" t="e">
        <f ca="1"/>
        <v>#REF!</v>
      </c>
      <c r="I237" s="29" t="e">
        <f ca="1"/>
        <v>#REF!</v>
      </c>
      <c r="J237" s="29" t="e">
        <f ca="1"/>
        <v>#REF!</v>
      </c>
      <c r="K237" s="29" t="e">
        <f ca="1"/>
        <v>#REF!</v>
      </c>
      <c r="L237" s="29" t="e">
        <f ca="1"/>
        <v>#REF!</v>
      </c>
      <c r="M237" s="29" t="e">
        <f ca="1"/>
        <v>#REF!</v>
      </c>
      <c r="N237" s="29" t="e">
        <f ca="1"/>
        <v>#REF!</v>
      </c>
      <c r="O237" s="2" t="e">
        <f ca="1"/>
        <v>#N/A</v>
      </c>
      <c r="P237" s="2" t="e">
        <f ca="1"/>
        <v>#N/A</v>
      </c>
      <c r="Q237" s="2" t="s">
        <v>5</v>
      </c>
      <c r="R237" s="2" t="s">
        <v>5</v>
      </c>
      <c r="U237" s="2"/>
      <c r="V237" s="2" t="s">
        <v>5</v>
      </c>
      <c r="W237" s="2" t="s">
        <v>5</v>
      </c>
      <c r="X237" s="29" t="s">
        <v>5</v>
      </c>
      <c r="Y237" s="30" t="s">
        <v>5</v>
      </c>
      <c r="Z237" s="29" t="s">
        <v>5</v>
      </c>
      <c r="AA237" s="30" t="s">
        <v>5</v>
      </c>
      <c r="AB237" s="29" t="s">
        <v>5</v>
      </c>
      <c r="AC237" s="29" t="s">
        <v>5</v>
      </c>
      <c r="AD237" s="29" t="s">
        <v>5</v>
      </c>
      <c r="AE237" s="29" t="s">
        <v>5</v>
      </c>
      <c r="AF237" s="29" t="s">
        <v>5</v>
      </c>
      <c r="AG237" s="29" t="s">
        <v>5</v>
      </c>
      <c r="AH237" s="2" t="s">
        <v>5</v>
      </c>
      <c r="AI237" s="2" t="s">
        <v>5</v>
      </c>
      <c r="AJ237" s="2" t="s">
        <v>5</v>
      </c>
      <c r="AK237" s="2" t="s">
        <v>5</v>
      </c>
    </row>
    <row r="238" spans="2:37" ht="12.5">
      <c r="B238" s="2" t="str">
        <f ca="1">IFERROR(__xludf.DUMMYFUNCTION("""COMPUTED_VALUE"""),"清流館高")</f>
        <v>清流館高</v>
      </c>
      <c r="C238" s="2" t="e">
        <f ca="1"/>
        <v>#N/A</v>
      </c>
      <c r="D238" s="2" t="e">
        <f ca="1"/>
        <v>#REF!</v>
      </c>
      <c r="E238" s="29" t="e">
        <f ca="1"/>
        <v>#REF!</v>
      </c>
      <c r="F238" s="30" t="e">
        <f ca="1"/>
        <v>#REF!</v>
      </c>
      <c r="G238" s="29" t="e">
        <f ca="1"/>
        <v>#REF!</v>
      </c>
      <c r="H238" s="30" t="e">
        <f ca="1"/>
        <v>#REF!</v>
      </c>
      <c r="I238" s="29" t="e">
        <f ca="1"/>
        <v>#REF!</v>
      </c>
      <c r="J238" s="29" t="e">
        <f ca="1"/>
        <v>#REF!</v>
      </c>
      <c r="K238" s="29" t="e">
        <f ca="1"/>
        <v>#REF!</v>
      </c>
      <c r="L238" s="29" t="e">
        <f ca="1"/>
        <v>#REF!</v>
      </c>
      <c r="M238" s="29" t="e">
        <f ca="1"/>
        <v>#REF!</v>
      </c>
      <c r="N238" s="29" t="e">
        <f ca="1"/>
        <v>#REF!</v>
      </c>
      <c r="O238" s="2" t="e">
        <f ca="1"/>
        <v>#N/A</v>
      </c>
      <c r="P238" s="2" t="e">
        <f ca="1"/>
        <v>#N/A</v>
      </c>
      <c r="Q238" s="2" t="s">
        <v>5</v>
      </c>
      <c r="R238" s="2" t="s">
        <v>5</v>
      </c>
      <c r="U238" s="2"/>
      <c r="V238" s="2" t="s">
        <v>5</v>
      </c>
      <c r="W238" s="2" t="s">
        <v>5</v>
      </c>
      <c r="X238" s="29" t="s">
        <v>5</v>
      </c>
      <c r="Y238" s="30" t="s">
        <v>5</v>
      </c>
      <c r="Z238" s="29" t="s">
        <v>5</v>
      </c>
      <c r="AA238" s="30" t="s">
        <v>5</v>
      </c>
      <c r="AB238" s="29" t="s">
        <v>5</v>
      </c>
      <c r="AC238" s="29" t="s">
        <v>5</v>
      </c>
      <c r="AD238" s="29" t="s">
        <v>5</v>
      </c>
      <c r="AE238" s="29" t="s">
        <v>5</v>
      </c>
      <c r="AF238" s="29" t="s">
        <v>5</v>
      </c>
      <c r="AG238" s="29" t="s">
        <v>5</v>
      </c>
      <c r="AH238" s="2" t="s">
        <v>5</v>
      </c>
      <c r="AI238" s="2" t="s">
        <v>5</v>
      </c>
      <c r="AJ238" s="2" t="s">
        <v>5</v>
      </c>
      <c r="AK238" s="2" t="s">
        <v>5</v>
      </c>
    </row>
    <row r="239" spans="2:37" ht="12.5">
      <c r="B239" s="2" t="str">
        <f ca="1">IFERROR(__xludf.DUMMYFUNCTION("""COMPUTED_VALUE"""),"済美平成中等教育")</f>
        <v>済美平成中等教育</v>
      </c>
      <c r="C239" s="2" t="e">
        <f ca="1"/>
        <v>#N/A</v>
      </c>
      <c r="D239" s="2" t="e">
        <f ca="1"/>
        <v>#REF!</v>
      </c>
      <c r="E239" s="29" t="e">
        <f ca="1"/>
        <v>#REF!</v>
      </c>
      <c r="F239" s="30" t="e">
        <f ca="1"/>
        <v>#REF!</v>
      </c>
      <c r="G239" s="29" t="e">
        <f ca="1"/>
        <v>#REF!</v>
      </c>
      <c r="H239" s="30" t="e">
        <f ca="1"/>
        <v>#REF!</v>
      </c>
      <c r="I239" s="29" t="e">
        <f ca="1"/>
        <v>#REF!</v>
      </c>
      <c r="J239" s="29" t="e">
        <f ca="1"/>
        <v>#REF!</v>
      </c>
      <c r="K239" s="29" t="e">
        <f ca="1"/>
        <v>#REF!</v>
      </c>
      <c r="L239" s="29" t="e">
        <f ca="1"/>
        <v>#REF!</v>
      </c>
      <c r="M239" s="29" t="e">
        <f ca="1"/>
        <v>#REF!</v>
      </c>
      <c r="N239" s="29" t="e">
        <f ca="1"/>
        <v>#REF!</v>
      </c>
      <c r="O239" s="2" t="e">
        <f ca="1"/>
        <v>#N/A</v>
      </c>
      <c r="P239" s="2" t="e">
        <f ca="1"/>
        <v>#N/A</v>
      </c>
      <c r="Q239" s="2" t="s">
        <v>5</v>
      </c>
      <c r="R239" s="2" t="s">
        <v>5</v>
      </c>
      <c r="U239" s="2"/>
      <c r="V239" s="2" t="s">
        <v>5</v>
      </c>
      <c r="W239" s="2" t="s">
        <v>5</v>
      </c>
      <c r="X239" s="29" t="s">
        <v>5</v>
      </c>
      <c r="Y239" s="30" t="s">
        <v>5</v>
      </c>
      <c r="Z239" s="29" t="s">
        <v>5</v>
      </c>
      <c r="AA239" s="30" t="s">
        <v>5</v>
      </c>
      <c r="AB239" s="29" t="s">
        <v>5</v>
      </c>
      <c r="AC239" s="29" t="s">
        <v>5</v>
      </c>
      <c r="AD239" s="29" t="s">
        <v>5</v>
      </c>
      <c r="AE239" s="29" t="s">
        <v>5</v>
      </c>
      <c r="AF239" s="29" t="s">
        <v>5</v>
      </c>
      <c r="AG239" s="29" t="s">
        <v>5</v>
      </c>
      <c r="AH239" s="2" t="s">
        <v>5</v>
      </c>
      <c r="AI239" s="2" t="s">
        <v>5</v>
      </c>
      <c r="AJ239" s="2" t="s">
        <v>5</v>
      </c>
      <c r="AK239" s="2" t="s">
        <v>5</v>
      </c>
    </row>
    <row r="240" spans="2:37" ht="12.5">
      <c r="B240" s="2" t="str">
        <f ca="1">IFERROR(__xludf.DUMMYFUNCTION("""COMPUTED_VALUE"""),"札幌北高")</f>
        <v>札幌北高</v>
      </c>
      <c r="C240" s="2" t="e">
        <f ca="1"/>
        <v>#N/A</v>
      </c>
      <c r="D240" s="2" t="e">
        <f ca="1"/>
        <v>#REF!</v>
      </c>
      <c r="E240" s="29" t="e">
        <f ca="1"/>
        <v>#REF!</v>
      </c>
      <c r="F240" s="30" t="e">
        <f ca="1"/>
        <v>#REF!</v>
      </c>
      <c r="G240" s="29" t="e">
        <f ca="1"/>
        <v>#REF!</v>
      </c>
      <c r="H240" s="30" t="e">
        <f ca="1"/>
        <v>#REF!</v>
      </c>
      <c r="I240" s="29" t="e">
        <f ca="1"/>
        <v>#REF!</v>
      </c>
      <c r="J240" s="29" t="e">
        <f ca="1"/>
        <v>#REF!</v>
      </c>
      <c r="K240" s="29" t="e">
        <f ca="1"/>
        <v>#REF!</v>
      </c>
      <c r="L240" s="29" t="e">
        <f ca="1"/>
        <v>#REF!</v>
      </c>
      <c r="M240" s="29" t="e">
        <f ca="1"/>
        <v>#REF!</v>
      </c>
      <c r="N240" s="29" t="e">
        <f ca="1"/>
        <v>#REF!</v>
      </c>
      <c r="O240" s="2" t="e">
        <f ca="1"/>
        <v>#N/A</v>
      </c>
      <c r="P240" s="2" t="e">
        <f ca="1"/>
        <v>#N/A</v>
      </c>
      <c r="Q240" s="2" t="s">
        <v>5</v>
      </c>
      <c r="R240" s="2" t="s">
        <v>5</v>
      </c>
      <c r="U240" s="2"/>
      <c r="V240" s="2" t="s">
        <v>5</v>
      </c>
      <c r="W240" s="2" t="s">
        <v>5</v>
      </c>
      <c r="X240" s="29" t="s">
        <v>5</v>
      </c>
      <c r="Y240" s="30" t="s">
        <v>5</v>
      </c>
      <c r="Z240" s="29" t="s">
        <v>5</v>
      </c>
      <c r="AA240" s="30" t="s">
        <v>5</v>
      </c>
      <c r="AB240" s="29" t="s">
        <v>5</v>
      </c>
      <c r="AC240" s="29" t="s">
        <v>5</v>
      </c>
      <c r="AD240" s="29" t="s">
        <v>5</v>
      </c>
      <c r="AE240" s="29" t="s">
        <v>5</v>
      </c>
      <c r="AF240" s="29" t="s">
        <v>5</v>
      </c>
      <c r="AG240" s="29" t="s">
        <v>5</v>
      </c>
      <c r="AH240" s="2" t="s">
        <v>5</v>
      </c>
      <c r="AI240" s="2" t="s">
        <v>5</v>
      </c>
      <c r="AJ240" s="2" t="s">
        <v>5</v>
      </c>
      <c r="AK240" s="2" t="s">
        <v>5</v>
      </c>
    </row>
    <row r="241" spans="2:37" ht="12.5">
      <c r="B241" s="2" t="str">
        <f ca="1">IFERROR(__xludf.DUMMYFUNCTION("""COMPUTED_VALUE"""),"春日丘高")</f>
        <v>春日丘高</v>
      </c>
      <c r="C241" s="2" t="e">
        <f ca="1"/>
        <v>#N/A</v>
      </c>
      <c r="D241" s="2" t="e">
        <f ca="1"/>
        <v>#REF!</v>
      </c>
      <c r="E241" s="29" t="e">
        <f ca="1"/>
        <v>#REF!</v>
      </c>
      <c r="F241" s="30" t="e">
        <f ca="1"/>
        <v>#REF!</v>
      </c>
      <c r="G241" s="29" t="e">
        <f ca="1"/>
        <v>#REF!</v>
      </c>
      <c r="H241" s="30" t="e">
        <f ca="1"/>
        <v>#REF!</v>
      </c>
      <c r="I241" s="29" t="e">
        <f ca="1"/>
        <v>#REF!</v>
      </c>
      <c r="J241" s="29" t="e">
        <f ca="1"/>
        <v>#REF!</v>
      </c>
      <c r="K241" s="29" t="e">
        <f ca="1"/>
        <v>#REF!</v>
      </c>
      <c r="L241" s="29" t="e">
        <f ca="1"/>
        <v>#REF!</v>
      </c>
      <c r="M241" s="29" t="e">
        <f ca="1"/>
        <v>#REF!</v>
      </c>
      <c r="N241" s="29" t="e">
        <f ca="1"/>
        <v>#REF!</v>
      </c>
      <c r="O241" s="2" t="e">
        <f ca="1"/>
        <v>#N/A</v>
      </c>
      <c r="P241" s="2" t="e">
        <f ca="1"/>
        <v>#N/A</v>
      </c>
      <c r="Q241" s="2" t="s">
        <v>5</v>
      </c>
      <c r="R241" s="2" t="s">
        <v>5</v>
      </c>
      <c r="U241" s="2"/>
      <c r="V241" s="2" t="s">
        <v>5</v>
      </c>
      <c r="W241" s="2" t="s">
        <v>5</v>
      </c>
      <c r="X241" s="29" t="s">
        <v>5</v>
      </c>
      <c r="Y241" s="30" t="s">
        <v>5</v>
      </c>
      <c r="Z241" s="29" t="s">
        <v>5</v>
      </c>
      <c r="AA241" s="30" t="s">
        <v>5</v>
      </c>
      <c r="AB241" s="29" t="s">
        <v>5</v>
      </c>
      <c r="AC241" s="29" t="s">
        <v>5</v>
      </c>
      <c r="AD241" s="29" t="s">
        <v>5</v>
      </c>
      <c r="AE241" s="29" t="s">
        <v>5</v>
      </c>
      <c r="AF241" s="29" t="s">
        <v>5</v>
      </c>
      <c r="AG241" s="29" t="s">
        <v>5</v>
      </c>
      <c r="AH241" s="2" t="s">
        <v>5</v>
      </c>
      <c r="AI241" s="2" t="s">
        <v>5</v>
      </c>
      <c r="AJ241" s="2" t="s">
        <v>5</v>
      </c>
      <c r="AK241" s="2" t="s">
        <v>5</v>
      </c>
    </row>
    <row r="242" spans="2:37" ht="12.5">
      <c r="B242" s="2" t="str">
        <f ca="1">IFERROR(__xludf.DUMMYFUNCTION("""COMPUTED_VALUE"""),"相生学院高")</f>
        <v>相生学院高</v>
      </c>
      <c r="C242" s="2" t="e">
        <f ca="1"/>
        <v>#N/A</v>
      </c>
      <c r="D242" s="2" t="e">
        <f ca="1"/>
        <v>#REF!</v>
      </c>
      <c r="E242" s="29" t="e">
        <f ca="1"/>
        <v>#REF!</v>
      </c>
      <c r="F242" s="30" t="e">
        <f ca="1"/>
        <v>#REF!</v>
      </c>
      <c r="G242" s="29" t="e">
        <f ca="1"/>
        <v>#REF!</v>
      </c>
      <c r="H242" s="30" t="e">
        <f ca="1"/>
        <v>#REF!</v>
      </c>
      <c r="I242" s="29" t="e">
        <f ca="1"/>
        <v>#REF!</v>
      </c>
      <c r="J242" s="29" t="e">
        <f ca="1"/>
        <v>#REF!</v>
      </c>
      <c r="K242" s="29" t="e">
        <f ca="1"/>
        <v>#REF!</v>
      </c>
      <c r="L242" s="29" t="e">
        <f ca="1"/>
        <v>#REF!</v>
      </c>
      <c r="M242" s="29" t="e">
        <f ca="1"/>
        <v>#REF!</v>
      </c>
      <c r="N242" s="29" t="e">
        <f ca="1"/>
        <v>#REF!</v>
      </c>
      <c r="O242" s="2" t="e">
        <f ca="1"/>
        <v>#N/A</v>
      </c>
      <c r="P242" s="2" t="e">
        <f ca="1"/>
        <v>#N/A</v>
      </c>
      <c r="Q242" s="2" t="s">
        <v>5</v>
      </c>
      <c r="R242" s="2" t="s">
        <v>5</v>
      </c>
      <c r="U242" s="2"/>
      <c r="V242" s="2" t="s">
        <v>5</v>
      </c>
      <c r="W242" s="2" t="s">
        <v>5</v>
      </c>
      <c r="X242" s="29" t="s">
        <v>5</v>
      </c>
      <c r="Y242" s="30" t="s">
        <v>5</v>
      </c>
      <c r="Z242" s="29" t="s">
        <v>5</v>
      </c>
      <c r="AA242" s="30" t="s">
        <v>5</v>
      </c>
      <c r="AB242" s="29" t="s">
        <v>5</v>
      </c>
      <c r="AC242" s="29" t="s">
        <v>5</v>
      </c>
      <c r="AD242" s="29" t="s">
        <v>5</v>
      </c>
      <c r="AE242" s="29" t="s">
        <v>5</v>
      </c>
      <c r="AF242" s="29" t="s">
        <v>5</v>
      </c>
      <c r="AG242" s="29" t="s">
        <v>5</v>
      </c>
      <c r="AH242" s="2" t="s">
        <v>5</v>
      </c>
      <c r="AI242" s="2" t="s">
        <v>5</v>
      </c>
      <c r="AJ242" s="2" t="s">
        <v>5</v>
      </c>
      <c r="AK242" s="2" t="s">
        <v>5</v>
      </c>
    </row>
    <row r="243" spans="2:37" ht="12.5">
      <c r="B243" s="2" t="str">
        <f ca="1">IFERROR(__xludf.DUMMYFUNCTION("""COMPUTED_VALUE"""),"ノートルダム清心高")</f>
        <v>ノートルダム清心高</v>
      </c>
      <c r="C243" s="2" t="e">
        <f ca="1"/>
        <v>#N/A</v>
      </c>
      <c r="D243" s="2" t="e">
        <f ca="1"/>
        <v>#REF!</v>
      </c>
      <c r="E243" s="29" t="e">
        <f ca="1"/>
        <v>#REF!</v>
      </c>
      <c r="F243" s="30" t="e">
        <f ca="1"/>
        <v>#REF!</v>
      </c>
      <c r="G243" s="29" t="e">
        <f ca="1"/>
        <v>#REF!</v>
      </c>
      <c r="H243" s="30" t="e">
        <f ca="1"/>
        <v>#REF!</v>
      </c>
      <c r="I243" s="29" t="e">
        <f ca="1"/>
        <v>#REF!</v>
      </c>
      <c r="J243" s="29" t="e">
        <f ca="1"/>
        <v>#REF!</v>
      </c>
      <c r="K243" s="29" t="e">
        <f ca="1"/>
        <v>#REF!</v>
      </c>
      <c r="L243" s="29" t="e">
        <f ca="1"/>
        <v>#REF!</v>
      </c>
      <c r="M243" s="29" t="e">
        <f ca="1"/>
        <v>#REF!</v>
      </c>
      <c r="N243" s="29" t="e">
        <f ca="1"/>
        <v>#REF!</v>
      </c>
      <c r="O243" s="2" t="e">
        <f ca="1"/>
        <v>#N/A</v>
      </c>
      <c r="P243" s="2" t="e">
        <f ca="1"/>
        <v>#N/A</v>
      </c>
      <c r="Q243" s="2" t="s">
        <v>5</v>
      </c>
      <c r="R243" s="2" t="s">
        <v>5</v>
      </c>
      <c r="U243" s="2"/>
      <c r="V243" s="2" t="s">
        <v>5</v>
      </c>
      <c r="W243" s="2" t="s">
        <v>5</v>
      </c>
      <c r="X243" s="29" t="s">
        <v>5</v>
      </c>
      <c r="Y243" s="30" t="s">
        <v>5</v>
      </c>
      <c r="Z243" s="29" t="s">
        <v>5</v>
      </c>
      <c r="AA243" s="30" t="s">
        <v>5</v>
      </c>
      <c r="AB243" s="29" t="s">
        <v>5</v>
      </c>
      <c r="AC243" s="29" t="s">
        <v>5</v>
      </c>
      <c r="AD243" s="29" t="s">
        <v>5</v>
      </c>
      <c r="AE243" s="29" t="s">
        <v>5</v>
      </c>
      <c r="AF243" s="29" t="s">
        <v>5</v>
      </c>
      <c r="AG243" s="29" t="s">
        <v>5</v>
      </c>
      <c r="AH243" s="2" t="s">
        <v>5</v>
      </c>
      <c r="AI243" s="2" t="s">
        <v>5</v>
      </c>
      <c r="AJ243" s="2" t="s">
        <v>5</v>
      </c>
      <c r="AK243" s="2" t="s">
        <v>5</v>
      </c>
    </row>
    <row r="244" spans="2:37" ht="12.5">
      <c r="B244" s="2" t="str">
        <f ca="1">IFERROR(__xludf.DUMMYFUNCTION("""COMPUTED_VALUE"""),"那覇国際高")</f>
        <v>那覇国際高</v>
      </c>
      <c r="C244" s="2" t="e">
        <f ca="1"/>
        <v>#N/A</v>
      </c>
      <c r="D244" s="2" t="e">
        <f ca="1"/>
        <v>#REF!</v>
      </c>
      <c r="E244" s="29" t="e">
        <f ca="1"/>
        <v>#REF!</v>
      </c>
      <c r="F244" s="30" t="e">
        <f ca="1"/>
        <v>#REF!</v>
      </c>
      <c r="G244" s="29" t="e">
        <f ca="1"/>
        <v>#REF!</v>
      </c>
      <c r="H244" s="30" t="e">
        <f ca="1"/>
        <v>#REF!</v>
      </c>
      <c r="I244" s="29" t="e">
        <f ca="1"/>
        <v>#REF!</v>
      </c>
      <c r="J244" s="29" t="e">
        <f ca="1"/>
        <v>#REF!</v>
      </c>
      <c r="K244" s="29" t="e">
        <f ca="1"/>
        <v>#REF!</v>
      </c>
      <c r="L244" s="29" t="e">
        <f ca="1"/>
        <v>#REF!</v>
      </c>
      <c r="M244" s="29" t="e">
        <f ca="1"/>
        <v>#REF!</v>
      </c>
      <c r="N244" s="29" t="e">
        <f ca="1"/>
        <v>#REF!</v>
      </c>
      <c r="O244" s="2" t="e">
        <f ca="1"/>
        <v>#N/A</v>
      </c>
      <c r="P244" s="2" t="e">
        <f ca="1"/>
        <v>#N/A</v>
      </c>
      <c r="Q244" s="2" t="s">
        <v>5</v>
      </c>
      <c r="R244" s="2" t="s">
        <v>5</v>
      </c>
      <c r="U244" s="2"/>
      <c r="V244" s="2" t="s">
        <v>5</v>
      </c>
      <c r="W244" s="2" t="s">
        <v>5</v>
      </c>
      <c r="X244" s="29" t="s">
        <v>5</v>
      </c>
      <c r="Y244" s="30" t="s">
        <v>5</v>
      </c>
      <c r="Z244" s="29" t="s">
        <v>5</v>
      </c>
      <c r="AA244" s="30" t="s">
        <v>5</v>
      </c>
      <c r="AB244" s="29" t="s">
        <v>5</v>
      </c>
      <c r="AC244" s="29" t="s">
        <v>5</v>
      </c>
      <c r="AD244" s="29" t="s">
        <v>5</v>
      </c>
      <c r="AE244" s="29" t="s">
        <v>5</v>
      </c>
      <c r="AF244" s="29" t="s">
        <v>5</v>
      </c>
      <c r="AG244" s="29" t="s">
        <v>5</v>
      </c>
      <c r="AH244" s="2" t="s">
        <v>5</v>
      </c>
      <c r="AI244" s="2" t="s">
        <v>5</v>
      </c>
      <c r="AJ244" s="2" t="s">
        <v>5</v>
      </c>
      <c r="AK244" s="2" t="s">
        <v>5</v>
      </c>
    </row>
    <row r="245" spans="2:37" ht="12.5">
      <c r="B245" s="2" t="str">
        <f ca="1">IFERROR(__xludf.DUMMYFUNCTION("""COMPUTED_VALUE"""),"開智未来高")</f>
        <v>開智未来高</v>
      </c>
      <c r="C245" s="2" t="e">
        <f ca="1"/>
        <v>#N/A</v>
      </c>
      <c r="D245" s="2" t="e">
        <f ca="1"/>
        <v>#REF!</v>
      </c>
      <c r="E245" s="29" t="e">
        <f ca="1"/>
        <v>#REF!</v>
      </c>
      <c r="F245" s="30" t="e">
        <f ca="1"/>
        <v>#REF!</v>
      </c>
      <c r="G245" s="29" t="e">
        <f ca="1"/>
        <v>#REF!</v>
      </c>
      <c r="H245" s="30" t="e">
        <f ca="1"/>
        <v>#REF!</v>
      </c>
      <c r="I245" s="29" t="e">
        <f ca="1"/>
        <v>#REF!</v>
      </c>
      <c r="J245" s="29" t="e">
        <f ca="1"/>
        <v>#REF!</v>
      </c>
      <c r="K245" s="29" t="e">
        <f ca="1"/>
        <v>#REF!</v>
      </c>
      <c r="L245" s="29" t="e">
        <f ca="1"/>
        <v>#REF!</v>
      </c>
      <c r="M245" s="29" t="e">
        <f ca="1"/>
        <v>#REF!</v>
      </c>
      <c r="N245" s="29" t="e">
        <f ca="1"/>
        <v>#REF!</v>
      </c>
      <c r="O245" s="2" t="e">
        <f ca="1"/>
        <v>#N/A</v>
      </c>
      <c r="P245" s="2" t="e">
        <f ca="1"/>
        <v>#N/A</v>
      </c>
      <c r="Q245" s="2" t="s">
        <v>5</v>
      </c>
      <c r="R245" s="2" t="s">
        <v>5</v>
      </c>
      <c r="U245" s="2"/>
      <c r="V245" s="2" t="s">
        <v>5</v>
      </c>
      <c r="W245" s="2" t="s">
        <v>5</v>
      </c>
      <c r="X245" s="29" t="s">
        <v>5</v>
      </c>
      <c r="Y245" s="30" t="s">
        <v>5</v>
      </c>
      <c r="Z245" s="29" t="s">
        <v>5</v>
      </c>
      <c r="AA245" s="30" t="s">
        <v>5</v>
      </c>
      <c r="AB245" s="29" t="s">
        <v>5</v>
      </c>
      <c r="AC245" s="29" t="s">
        <v>5</v>
      </c>
      <c r="AD245" s="29" t="s">
        <v>5</v>
      </c>
      <c r="AE245" s="29" t="s">
        <v>5</v>
      </c>
      <c r="AF245" s="29" t="s">
        <v>5</v>
      </c>
      <c r="AG245" s="29" t="s">
        <v>5</v>
      </c>
      <c r="AH245" s="2" t="s">
        <v>5</v>
      </c>
      <c r="AI245" s="2" t="s">
        <v>5</v>
      </c>
      <c r="AJ245" s="2" t="s">
        <v>5</v>
      </c>
      <c r="AK245" s="2" t="s">
        <v>5</v>
      </c>
    </row>
    <row r="246" spans="2:37" ht="12.5">
      <c r="B246" s="2" t="str">
        <f ca="1">IFERROR(__xludf.DUMMYFUNCTION("""COMPUTED_VALUE"""),"横浜共立学園高")</f>
        <v>横浜共立学園高</v>
      </c>
      <c r="C246" s="2" t="e">
        <f ca="1"/>
        <v>#N/A</v>
      </c>
      <c r="D246" s="2" t="e">
        <f ca="1"/>
        <v>#REF!</v>
      </c>
      <c r="E246" s="29" t="e">
        <f ca="1"/>
        <v>#REF!</v>
      </c>
      <c r="F246" s="30" t="e">
        <f ca="1"/>
        <v>#REF!</v>
      </c>
      <c r="G246" s="29" t="e">
        <f ca="1"/>
        <v>#REF!</v>
      </c>
      <c r="H246" s="30" t="e">
        <f ca="1"/>
        <v>#REF!</v>
      </c>
      <c r="I246" s="29" t="e">
        <f ca="1"/>
        <v>#REF!</v>
      </c>
      <c r="J246" s="29" t="e">
        <f ca="1"/>
        <v>#REF!</v>
      </c>
      <c r="K246" s="29" t="e">
        <f ca="1"/>
        <v>#REF!</v>
      </c>
      <c r="L246" s="29" t="e">
        <f ca="1"/>
        <v>#REF!</v>
      </c>
      <c r="M246" s="29" t="e">
        <f ca="1"/>
        <v>#REF!</v>
      </c>
      <c r="N246" s="29" t="e">
        <f ca="1"/>
        <v>#REF!</v>
      </c>
      <c r="O246" s="2" t="e">
        <f ca="1"/>
        <v>#N/A</v>
      </c>
      <c r="P246" s="2" t="e">
        <f ca="1"/>
        <v>#N/A</v>
      </c>
      <c r="Q246" s="2" t="s">
        <v>5</v>
      </c>
      <c r="R246" s="2" t="s">
        <v>5</v>
      </c>
      <c r="U246" s="2"/>
      <c r="V246" s="2" t="s">
        <v>5</v>
      </c>
      <c r="W246" s="2" t="s">
        <v>5</v>
      </c>
      <c r="X246" s="29" t="s">
        <v>5</v>
      </c>
      <c r="Y246" s="30" t="s">
        <v>5</v>
      </c>
      <c r="Z246" s="29" t="s">
        <v>5</v>
      </c>
      <c r="AA246" s="30" t="s">
        <v>5</v>
      </c>
      <c r="AB246" s="29" t="s">
        <v>5</v>
      </c>
      <c r="AC246" s="29" t="s">
        <v>5</v>
      </c>
      <c r="AD246" s="29" t="s">
        <v>5</v>
      </c>
      <c r="AE246" s="29" t="s">
        <v>5</v>
      </c>
      <c r="AF246" s="29" t="s">
        <v>5</v>
      </c>
      <c r="AG246" s="29" t="s">
        <v>5</v>
      </c>
      <c r="AH246" s="2" t="s">
        <v>5</v>
      </c>
      <c r="AI246" s="2" t="s">
        <v>5</v>
      </c>
      <c r="AJ246" s="2" t="s">
        <v>5</v>
      </c>
      <c r="AK246" s="2" t="s">
        <v>5</v>
      </c>
    </row>
    <row r="247" spans="2:37" ht="12.5">
      <c r="B247" s="2" t="str">
        <f ca="1">IFERROR(__xludf.DUMMYFUNCTION("""COMPUTED_VALUE"""),"高岡高")</f>
        <v>高岡高</v>
      </c>
      <c r="C247" s="2" t="e">
        <f ca="1"/>
        <v>#N/A</v>
      </c>
      <c r="D247" s="2" t="e">
        <f ca="1"/>
        <v>#REF!</v>
      </c>
      <c r="E247" s="29" t="e">
        <f ca="1"/>
        <v>#REF!</v>
      </c>
      <c r="F247" s="30" t="e">
        <f ca="1"/>
        <v>#REF!</v>
      </c>
      <c r="G247" s="29" t="e">
        <f ca="1"/>
        <v>#REF!</v>
      </c>
      <c r="H247" s="30" t="e">
        <f ca="1"/>
        <v>#REF!</v>
      </c>
      <c r="I247" s="29" t="e">
        <f ca="1"/>
        <v>#REF!</v>
      </c>
      <c r="J247" s="29" t="e">
        <f ca="1"/>
        <v>#REF!</v>
      </c>
      <c r="K247" s="29" t="e">
        <f ca="1"/>
        <v>#REF!</v>
      </c>
      <c r="L247" s="29" t="e">
        <f ca="1"/>
        <v>#REF!</v>
      </c>
      <c r="M247" s="29" t="e">
        <f ca="1"/>
        <v>#REF!</v>
      </c>
      <c r="N247" s="29" t="e">
        <f ca="1"/>
        <v>#REF!</v>
      </c>
      <c r="O247" s="2" t="e">
        <f ca="1"/>
        <v>#N/A</v>
      </c>
      <c r="P247" s="2" t="e">
        <f ca="1"/>
        <v>#N/A</v>
      </c>
      <c r="Q247" s="2" t="s">
        <v>5</v>
      </c>
      <c r="R247" s="2" t="s">
        <v>5</v>
      </c>
      <c r="U247" s="2"/>
      <c r="V247" s="2" t="s">
        <v>5</v>
      </c>
      <c r="W247" s="2" t="s">
        <v>5</v>
      </c>
      <c r="X247" s="29" t="s">
        <v>5</v>
      </c>
      <c r="Y247" s="30" t="s">
        <v>5</v>
      </c>
      <c r="Z247" s="29" t="s">
        <v>5</v>
      </c>
      <c r="AA247" s="30" t="s">
        <v>5</v>
      </c>
      <c r="AB247" s="29" t="s">
        <v>5</v>
      </c>
      <c r="AC247" s="29" t="s">
        <v>5</v>
      </c>
      <c r="AD247" s="29" t="s">
        <v>5</v>
      </c>
      <c r="AE247" s="29" t="s">
        <v>5</v>
      </c>
      <c r="AF247" s="29" t="s">
        <v>5</v>
      </c>
      <c r="AG247" s="29" t="s">
        <v>5</v>
      </c>
      <c r="AH247" s="2" t="s">
        <v>5</v>
      </c>
      <c r="AI247" s="2" t="s">
        <v>5</v>
      </c>
      <c r="AJ247" s="2" t="s">
        <v>5</v>
      </c>
      <c r="AK247" s="2" t="s">
        <v>5</v>
      </c>
    </row>
    <row r="248" spans="2:37" ht="12.5">
      <c r="B248" s="2" t="str">
        <f ca="1">IFERROR(__xludf.DUMMYFUNCTION("""COMPUTED_VALUE"""),"若狭高")</f>
        <v>若狭高</v>
      </c>
      <c r="C248" s="2" t="e">
        <f ca="1"/>
        <v>#N/A</v>
      </c>
      <c r="D248" s="2" t="e">
        <f ca="1"/>
        <v>#REF!</v>
      </c>
      <c r="E248" s="29" t="e">
        <f ca="1"/>
        <v>#REF!</v>
      </c>
      <c r="F248" s="30" t="e">
        <f ca="1"/>
        <v>#REF!</v>
      </c>
      <c r="G248" s="29" t="e">
        <f ca="1"/>
        <v>#REF!</v>
      </c>
      <c r="H248" s="30" t="e">
        <f ca="1"/>
        <v>#REF!</v>
      </c>
      <c r="I248" s="29" t="e">
        <f ca="1"/>
        <v>#REF!</v>
      </c>
      <c r="J248" s="29" t="e">
        <f ca="1"/>
        <v>#REF!</v>
      </c>
      <c r="K248" s="29" t="e">
        <f ca="1"/>
        <v>#REF!</v>
      </c>
      <c r="L248" s="29" t="e">
        <f ca="1"/>
        <v>#REF!</v>
      </c>
      <c r="M248" s="29" t="e">
        <f ca="1"/>
        <v>#REF!</v>
      </c>
      <c r="N248" s="29" t="e">
        <f ca="1"/>
        <v>#REF!</v>
      </c>
      <c r="O248" s="2" t="e">
        <f ca="1"/>
        <v>#N/A</v>
      </c>
      <c r="P248" s="2" t="e">
        <f ca="1"/>
        <v>#N/A</v>
      </c>
      <c r="Q248" s="2" t="s">
        <v>5</v>
      </c>
      <c r="R248" s="2" t="s">
        <v>5</v>
      </c>
      <c r="U248" s="2"/>
      <c r="V248" s="2" t="s">
        <v>5</v>
      </c>
      <c r="W248" s="2" t="s">
        <v>5</v>
      </c>
      <c r="X248" s="29" t="s">
        <v>5</v>
      </c>
      <c r="Y248" s="30" t="s">
        <v>5</v>
      </c>
      <c r="Z248" s="29" t="s">
        <v>5</v>
      </c>
      <c r="AA248" s="30" t="s">
        <v>5</v>
      </c>
      <c r="AB248" s="29" t="s">
        <v>5</v>
      </c>
      <c r="AC248" s="29" t="s">
        <v>5</v>
      </c>
      <c r="AD248" s="29" t="s">
        <v>5</v>
      </c>
      <c r="AE248" s="29" t="s">
        <v>5</v>
      </c>
      <c r="AF248" s="29" t="s">
        <v>5</v>
      </c>
      <c r="AG248" s="29" t="s">
        <v>5</v>
      </c>
      <c r="AH248" s="2" t="s">
        <v>5</v>
      </c>
      <c r="AI248" s="2" t="s">
        <v>5</v>
      </c>
      <c r="AJ248" s="2" t="s">
        <v>5</v>
      </c>
      <c r="AK248" s="2" t="s">
        <v>5</v>
      </c>
    </row>
    <row r="249" spans="2:37" ht="12.5">
      <c r="B249" s="2" t="str">
        <f ca="1">IFERROR(__xludf.DUMMYFUNCTION("""COMPUTED_VALUE"""),"篠山鳳鳴高")</f>
        <v>篠山鳳鳴高</v>
      </c>
      <c r="C249" s="2" t="e">
        <f ca="1"/>
        <v>#N/A</v>
      </c>
      <c r="D249" s="2" t="e">
        <f ca="1"/>
        <v>#REF!</v>
      </c>
      <c r="E249" s="29" t="e">
        <f ca="1"/>
        <v>#REF!</v>
      </c>
      <c r="F249" s="30" t="e">
        <f ca="1"/>
        <v>#REF!</v>
      </c>
      <c r="G249" s="29" t="e">
        <f ca="1"/>
        <v>#REF!</v>
      </c>
      <c r="H249" s="30" t="e">
        <f ca="1"/>
        <v>#REF!</v>
      </c>
      <c r="I249" s="29" t="e">
        <f ca="1"/>
        <v>#REF!</v>
      </c>
      <c r="J249" s="29" t="e">
        <f ca="1"/>
        <v>#REF!</v>
      </c>
      <c r="K249" s="29" t="e">
        <f ca="1"/>
        <v>#REF!</v>
      </c>
      <c r="L249" s="29" t="e">
        <f ca="1"/>
        <v>#REF!</v>
      </c>
      <c r="M249" s="29" t="e">
        <f ca="1"/>
        <v>#REF!</v>
      </c>
      <c r="N249" s="29" t="e">
        <f ca="1"/>
        <v>#REF!</v>
      </c>
      <c r="O249" s="2" t="e">
        <f ca="1"/>
        <v>#N/A</v>
      </c>
      <c r="P249" s="2" t="e">
        <f ca="1"/>
        <v>#N/A</v>
      </c>
      <c r="Q249" s="2" t="s">
        <v>5</v>
      </c>
      <c r="R249" s="2" t="s">
        <v>5</v>
      </c>
      <c r="U249" s="2"/>
      <c r="V249" s="2" t="s">
        <v>5</v>
      </c>
      <c r="W249" s="2" t="s">
        <v>5</v>
      </c>
      <c r="X249" s="29" t="s">
        <v>5</v>
      </c>
      <c r="Y249" s="30" t="s">
        <v>5</v>
      </c>
      <c r="Z249" s="29" t="s">
        <v>5</v>
      </c>
      <c r="AA249" s="30" t="s">
        <v>5</v>
      </c>
      <c r="AB249" s="29" t="s">
        <v>5</v>
      </c>
      <c r="AC249" s="29" t="s">
        <v>5</v>
      </c>
      <c r="AD249" s="29" t="s">
        <v>5</v>
      </c>
      <c r="AE249" s="29" t="s">
        <v>5</v>
      </c>
      <c r="AF249" s="29" t="s">
        <v>5</v>
      </c>
      <c r="AG249" s="29" t="s">
        <v>5</v>
      </c>
      <c r="AH249" s="2" t="s">
        <v>5</v>
      </c>
      <c r="AI249" s="2" t="s">
        <v>5</v>
      </c>
      <c r="AJ249" s="2" t="s">
        <v>5</v>
      </c>
      <c r="AK249" s="2" t="s">
        <v>5</v>
      </c>
    </row>
    <row r="250" spans="2:37" ht="12.5">
      <c r="B250" s="2" t="str">
        <f ca="1">IFERROR(__xludf.DUMMYFUNCTION("""COMPUTED_VALUE"""),"松山東雲高")</f>
        <v>松山東雲高</v>
      </c>
      <c r="C250" s="2" t="e">
        <f ca="1"/>
        <v>#N/A</v>
      </c>
      <c r="D250" s="2" t="e">
        <f ca="1"/>
        <v>#REF!</v>
      </c>
      <c r="E250" s="29" t="e">
        <f ca="1"/>
        <v>#REF!</v>
      </c>
      <c r="F250" s="30" t="e">
        <f ca="1"/>
        <v>#REF!</v>
      </c>
      <c r="G250" s="29" t="e">
        <f ca="1"/>
        <v>#REF!</v>
      </c>
      <c r="H250" s="30" t="e">
        <f ca="1"/>
        <v>#REF!</v>
      </c>
      <c r="I250" s="29" t="e">
        <f ca="1"/>
        <v>#REF!</v>
      </c>
      <c r="J250" s="29" t="e">
        <f ca="1"/>
        <v>#REF!</v>
      </c>
      <c r="K250" s="29" t="e">
        <f ca="1"/>
        <v>#REF!</v>
      </c>
      <c r="L250" s="29" t="e">
        <f ca="1"/>
        <v>#REF!</v>
      </c>
      <c r="M250" s="29" t="e">
        <f ca="1"/>
        <v>#REF!</v>
      </c>
      <c r="N250" s="29" t="e">
        <f ca="1"/>
        <v>#REF!</v>
      </c>
      <c r="O250" s="2" t="e">
        <f ca="1"/>
        <v>#N/A</v>
      </c>
      <c r="P250" s="2" t="e">
        <f ca="1"/>
        <v>#N/A</v>
      </c>
      <c r="Q250" s="2" t="s">
        <v>5</v>
      </c>
      <c r="R250" s="2" t="s">
        <v>5</v>
      </c>
      <c r="U250" s="2"/>
      <c r="V250" s="2" t="s">
        <v>5</v>
      </c>
      <c r="W250" s="2" t="s">
        <v>5</v>
      </c>
      <c r="X250" s="29" t="s">
        <v>5</v>
      </c>
      <c r="Y250" s="30" t="s">
        <v>5</v>
      </c>
      <c r="Z250" s="29" t="s">
        <v>5</v>
      </c>
      <c r="AA250" s="30" t="s">
        <v>5</v>
      </c>
      <c r="AB250" s="29" t="s">
        <v>5</v>
      </c>
      <c r="AC250" s="29" t="s">
        <v>5</v>
      </c>
      <c r="AD250" s="29" t="s">
        <v>5</v>
      </c>
      <c r="AE250" s="29" t="s">
        <v>5</v>
      </c>
      <c r="AF250" s="29" t="s">
        <v>5</v>
      </c>
      <c r="AG250" s="29" t="s">
        <v>5</v>
      </c>
      <c r="AH250" s="2" t="s">
        <v>5</v>
      </c>
      <c r="AI250" s="2" t="s">
        <v>5</v>
      </c>
      <c r="AJ250" s="2" t="s">
        <v>5</v>
      </c>
      <c r="AK250" s="2" t="s">
        <v>5</v>
      </c>
    </row>
    <row r="251" spans="2:37" ht="12.5">
      <c r="B251" s="2" t="str">
        <f ca="1">IFERROR(__xludf.DUMMYFUNCTION("""COMPUTED_VALUE"""),"市立太田高")</f>
        <v>市立太田高</v>
      </c>
      <c r="C251" s="2" t="e">
        <f ca="1"/>
        <v>#N/A</v>
      </c>
      <c r="D251" s="2" t="e">
        <f ca="1"/>
        <v>#REF!</v>
      </c>
      <c r="E251" s="29" t="e">
        <f ca="1"/>
        <v>#REF!</v>
      </c>
      <c r="F251" s="30" t="e">
        <f ca="1"/>
        <v>#REF!</v>
      </c>
      <c r="G251" s="29" t="e">
        <f ca="1"/>
        <v>#REF!</v>
      </c>
      <c r="H251" s="30" t="e">
        <f ca="1"/>
        <v>#REF!</v>
      </c>
      <c r="I251" s="29" t="e">
        <f ca="1"/>
        <v>#REF!</v>
      </c>
      <c r="J251" s="29" t="e">
        <f ca="1"/>
        <v>#REF!</v>
      </c>
      <c r="K251" s="29" t="e">
        <f ca="1"/>
        <v>#REF!</v>
      </c>
      <c r="L251" s="29" t="e">
        <f ca="1"/>
        <v>#REF!</v>
      </c>
      <c r="M251" s="29" t="e">
        <f ca="1"/>
        <v>#REF!</v>
      </c>
      <c r="N251" s="29" t="e">
        <f ca="1"/>
        <v>#REF!</v>
      </c>
      <c r="O251" s="2" t="e">
        <f ca="1"/>
        <v>#N/A</v>
      </c>
      <c r="P251" s="2" t="e">
        <f ca="1"/>
        <v>#N/A</v>
      </c>
      <c r="Q251" s="2" t="s">
        <v>5</v>
      </c>
      <c r="R251" s="2" t="s">
        <v>5</v>
      </c>
      <c r="U251" s="2"/>
      <c r="V251" s="2" t="s">
        <v>5</v>
      </c>
      <c r="W251" s="2" t="s">
        <v>5</v>
      </c>
      <c r="X251" s="29" t="s">
        <v>5</v>
      </c>
      <c r="Y251" s="30" t="s">
        <v>5</v>
      </c>
      <c r="Z251" s="29" t="s">
        <v>5</v>
      </c>
      <c r="AA251" s="30" t="s">
        <v>5</v>
      </c>
      <c r="AB251" s="29" t="s">
        <v>5</v>
      </c>
      <c r="AC251" s="29" t="s">
        <v>5</v>
      </c>
      <c r="AD251" s="29" t="s">
        <v>5</v>
      </c>
      <c r="AE251" s="29" t="s">
        <v>5</v>
      </c>
      <c r="AF251" s="29" t="s">
        <v>5</v>
      </c>
      <c r="AG251" s="29" t="s">
        <v>5</v>
      </c>
      <c r="AH251" s="2" t="s">
        <v>5</v>
      </c>
      <c r="AI251" s="2" t="s">
        <v>5</v>
      </c>
      <c r="AJ251" s="2" t="s">
        <v>5</v>
      </c>
      <c r="AK251" s="2" t="s">
        <v>5</v>
      </c>
    </row>
    <row r="252" spans="2:37" ht="12.5">
      <c r="B252" s="2" t="str">
        <f ca="1">IFERROR(__xludf.DUMMYFUNCTION("""COMPUTED_VALUE"""),"細田学園高")</f>
        <v>細田学園高</v>
      </c>
      <c r="C252" s="2" t="e">
        <f ca="1"/>
        <v>#N/A</v>
      </c>
      <c r="D252" s="2" t="e">
        <f ca="1"/>
        <v>#REF!</v>
      </c>
      <c r="E252" s="29" t="e">
        <f ca="1"/>
        <v>#REF!</v>
      </c>
      <c r="F252" s="30" t="e">
        <f ca="1"/>
        <v>#REF!</v>
      </c>
      <c r="G252" s="29" t="e">
        <f ca="1"/>
        <v>#REF!</v>
      </c>
      <c r="H252" s="30" t="e">
        <f ca="1"/>
        <v>#REF!</v>
      </c>
      <c r="I252" s="29" t="e">
        <f ca="1"/>
        <v>#REF!</v>
      </c>
      <c r="J252" s="29" t="e">
        <f ca="1"/>
        <v>#REF!</v>
      </c>
      <c r="K252" s="29" t="e">
        <f ca="1"/>
        <v>#REF!</v>
      </c>
      <c r="L252" s="29" t="e">
        <f ca="1"/>
        <v>#REF!</v>
      </c>
      <c r="M252" s="29" t="e">
        <f ca="1"/>
        <v>#REF!</v>
      </c>
      <c r="N252" s="29" t="e">
        <f ca="1"/>
        <v>#REF!</v>
      </c>
      <c r="O252" s="2" t="e">
        <f ca="1"/>
        <v>#N/A</v>
      </c>
      <c r="P252" s="2" t="e">
        <f ca="1"/>
        <v>#N/A</v>
      </c>
      <c r="Q252" s="2" t="s">
        <v>5</v>
      </c>
      <c r="R252" s="2" t="s">
        <v>5</v>
      </c>
      <c r="U252" s="2"/>
      <c r="V252" s="2" t="s">
        <v>5</v>
      </c>
      <c r="W252" s="2" t="s">
        <v>5</v>
      </c>
      <c r="X252" s="29" t="s">
        <v>5</v>
      </c>
      <c r="Y252" s="30" t="s">
        <v>5</v>
      </c>
      <c r="Z252" s="29" t="s">
        <v>5</v>
      </c>
      <c r="AA252" s="30" t="s">
        <v>5</v>
      </c>
      <c r="AB252" s="29" t="s">
        <v>5</v>
      </c>
      <c r="AC252" s="29" t="s">
        <v>5</v>
      </c>
      <c r="AD252" s="29" t="s">
        <v>5</v>
      </c>
      <c r="AE252" s="29" t="s">
        <v>5</v>
      </c>
      <c r="AF252" s="29" t="s">
        <v>5</v>
      </c>
      <c r="AG252" s="29" t="s">
        <v>5</v>
      </c>
      <c r="AH252" s="2" t="s">
        <v>5</v>
      </c>
      <c r="AI252" s="2" t="s">
        <v>5</v>
      </c>
      <c r="AJ252" s="2" t="s">
        <v>5</v>
      </c>
      <c r="AK252" s="2" t="s">
        <v>5</v>
      </c>
    </row>
    <row r="253" spans="2:37" ht="12.5">
      <c r="B253" s="2" t="str">
        <f ca="1">IFERROR(__xludf.DUMMYFUNCTION("""COMPUTED_VALUE"""),"土佐高")</f>
        <v>土佐高</v>
      </c>
      <c r="C253" s="2" t="e">
        <f ca="1"/>
        <v>#N/A</v>
      </c>
      <c r="D253" s="2" t="e">
        <f ca="1"/>
        <v>#REF!</v>
      </c>
      <c r="E253" s="29" t="e">
        <f ca="1"/>
        <v>#REF!</v>
      </c>
      <c r="F253" s="30" t="e">
        <f ca="1"/>
        <v>#REF!</v>
      </c>
      <c r="G253" s="29" t="e">
        <f ca="1"/>
        <v>#REF!</v>
      </c>
      <c r="H253" s="30" t="e">
        <f ca="1"/>
        <v>#REF!</v>
      </c>
      <c r="I253" s="29" t="e">
        <f ca="1"/>
        <v>#REF!</v>
      </c>
      <c r="J253" s="29" t="e">
        <f ca="1"/>
        <v>#REF!</v>
      </c>
      <c r="K253" s="29" t="e">
        <f ca="1"/>
        <v>#REF!</v>
      </c>
      <c r="L253" s="29" t="e">
        <f ca="1"/>
        <v>#REF!</v>
      </c>
      <c r="M253" s="29" t="e">
        <f ca="1"/>
        <v>#REF!</v>
      </c>
      <c r="N253" s="29" t="e">
        <f ca="1"/>
        <v>#REF!</v>
      </c>
      <c r="O253" s="2" t="e">
        <f ca="1"/>
        <v>#N/A</v>
      </c>
      <c r="P253" s="2" t="e">
        <f ca="1"/>
        <v>#N/A</v>
      </c>
      <c r="Q253" s="2" t="s">
        <v>5</v>
      </c>
      <c r="R253" s="2" t="s">
        <v>5</v>
      </c>
      <c r="U253" s="2"/>
      <c r="V253" s="2" t="s">
        <v>5</v>
      </c>
      <c r="W253" s="2" t="s">
        <v>5</v>
      </c>
      <c r="X253" s="29" t="s">
        <v>5</v>
      </c>
      <c r="Y253" s="30" t="s">
        <v>5</v>
      </c>
      <c r="Z253" s="29" t="s">
        <v>5</v>
      </c>
      <c r="AA253" s="30" t="s">
        <v>5</v>
      </c>
      <c r="AB253" s="29" t="s">
        <v>5</v>
      </c>
      <c r="AC253" s="29" t="s">
        <v>5</v>
      </c>
      <c r="AD253" s="29" t="s">
        <v>5</v>
      </c>
      <c r="AE253" s="29" t="s">
        <v>5</v>
      </c>
      <c r="AF253" s="29" t="s">
        <v>5</v>
      </c>
      <c r="AG253" s="29" t="s">
        <v>5</v>
      </c>
      <c r="AH253" s="2" t="s">
        <v>5</v>
      </c>
      <c r="AI253" s="2" t="s">
        <v>5</v>
      </c>
      <c r="AJ253" s="2" t="s">
        <v>5</v>
      </c>
      <c r="AK253" s="2" t="s">
        <v>5</v>
      </c>
    </row>
    <row r="254" spans="2:37" ht="12.5">
      <c r="B254" s="2" t="str">
        <f ca="1">IFERROR(__xludf.DUMMYFUNCTION("""COMPUTED_VALUE"""),"津西高")</f>
        <v>津西高</v>
      </c>
      <c r="C254" s="2" t="e">
        <f ca="1"/>
        <v>#N/A</v>
      </c>
      <c r="D254" s="2" t="e">
        <f ca="1"/>
        <v>#REF!</v>
      </c>
      <c r="E254" s="29" t="e">
        <f ca="1"/>
        <v>#REF!</v>
      </c>
      <c r="F254" s="30" t="e">
        <f ca="1"/>
        <v>#REF!</v>
      </c>
      <c r="G254" s="29" t="e">
        <f ca="1"/>
        <v>#REF!</v>
      </c>
      <c r="H254" s="30" t="e">
        <f ca="1"/>
        <v>#REF!</v>
      </c>
      <c r="I254" s="29" t="e">
        <f ca="1"/>
        <v>#REF!</v>
      </c>
      <c r="J254" s="29" t="e">
        <f ca="1"/>
        <v>#REF!</v>
      </c>
      <c r="K254" s="29" t="e">
        <f ca="1"/>
        <v>#REF!</v>
      </c>
      <c r="L254" s="29" t="e">
        <f ca="1"/>
        <v>#REF!</v>
      </c>
      <c r="M254" s="29" t="e">
        <f ca="1"/>
        <v>#REF!</v>
      </c>
      <c r="N254" s="29" t="e">
        <f ca="1"/>
        <v>#REF!</v>
      </c>
      <c r="O254" s="2" t="e">
        <f ca="1"/>
        <v>#N/A</v>
      </c>
      <c r="P254" s="2" t="e">
        <f ca="1"/>
        <v>#N/A</v>
      </c>
      <c r="Q254" s="2" t="s">
        <v>5</v>
      </c>
      <c r="R254" s="2" t="s">
        <v>5</v>
      </c>
      <c r="U254" s="2"/>
      <c r="V254" s="2" t="s">
        <v>5</v>
      </c>
      <c r="W254" s="2" t="s">
        <v>5</v>
      </c>
      <c r="X254" s="29" t="s">
        <v>5</v>
      </c>
      <c r="Y254" s="30" t="s">
        <v>5</v>
      </c>
      <c r="Z254" s="29" t="s">
        <v>5</v>
      </c>
      <c r="AA254" s="30" t="s">
        <v>5</v>
      </c>
      <c r="AB254" s="29" t="s">
        <v>5</v>
      </c>
      <c r="AC254" s="29" t="s">
        <v>5</v>
      </c>
      <c r="AD254" s="29" t="s">
        <v>5</v>
      </c>
      <c r="AE254" s="29" t="s">
        <v>5</v>
      </c>
      <c r="AF254" s="29" t="s">
        <v>5</v>
      </c>
      <c r="AG254" s="29" t="s">
        <v>5</v>
      </c>
      <c r="AH254" s="2" t="s">
        <v>5</v>
      </c>
      <c r="AI254" s="2" t="s">
        <v>5</v>
      </c>
      <c r="AJ254" s="2" t="s">
        <v>5</v>
      </c>
      <c r="AK254" s="2" t="s">
        <v>5</v>
      </c>
    </row>
    <row r="255" spans="2:37" ht="12.5">
      <c r="B255" s="2" t="str">
        <f ca="1">IFERROR(__xludf.DUMMYFUNCTION("""COMPUTED_VALUE"""),"高津高")</f>
        <v>高津高</v>
      </c>
      <c r="C255" s="2" t="e">
        <f ca="1"/>
        <v>#N/A</v>
      </c>
      <c r="D255" s="2" t="e">
        <f ca="1"/>
        <v>#REF!</v>
      </c>
      <c r="E255" s="29" t="e">
        <f ca="1"/>
        <v>#REF!</v>
      </c>
      <c r="F255" s="30" t="e">
        <f ca="1"/>
        <v>#REF!</v>
      </c>
      <c r="G255" s="29" t="e">
        <f ca="1"/>
        <v>#REF!</v>
      </c>
      <c r="H255" s="30" t="e">
        <f ca="1"/>
        <v>#REF!</v>
      </c>
      <c r="I255" s="29" t="e">
        <f ca="1"/>
        <v>#REF!</v>
      </c>
      <c r="J255" s="29" t="e">
        <f ca="1"/>
        <v>#REF!</v>
      </c>
      <c r="K255" s="29" t="e">
        <f ca="1"/>
        <v>#REF!</v>
      </c>
      <c r="L255" s="29" t="e">
        <f ca="1"/>
        <v>#REF!</v>
      </c>
      <c r="M255" s="29" t="e">
        <f ca="1"/>
        <v>#REF!</v>
      </c>
      <c r="N255" s="29" t="e">
        <f ca="1"/>
        <v>#REF!</v>
      </c>
      <c r="O255" s="2" t="e">
        <f ca="1"/>
        <v>#N/A</v>
      </c>
      <c r="P255" s="2" t="e">
        <f ca="1"/>
        <v>#N/A</v>
      </c>
      <c r="Q255" s="2" t="s">
        <v>5</v>
      </c>
      <c r="R255" s="2" t="s">
        <v>5</v>
      </c>
      <c r="U255" s="2"/>
      <c r="V255" s="2" t="s">
        <v>5</v>
      </c>
      <c r="W255" s="2" t="s">
        <v>5</v>
      </c>
      <c r="X255" s="29" t="s">
        <v>5</v>
      </c>
      <c r="Y255" s="30" t="s">
        <v>5</v>
      </c>
      <c r="Z255" s="29" t="s">
        <v>5</v>
      </c>
      <c r="AA255" s="30" t="s">
        <v>5</v>
      </c>
      <c r="AB255" s="29" t="s">
        <v>5</v>
      </c>
      <c r="AC255" s="29" t="s">
        <v>5</v>
      </c>
      <c r="AD255" s="29" t="s">
        <v>5</v>
      </c>
      <c r="AE255" s="29" t="s">
        <v>5</v>
      </c>
      <c r="AF255" s="29" t="s">
        <v>5</v>
      </c>
      <c r="AG255" s="29" t="s">
        <v>5</v>
      </c>
      <c r="AH255" s="2" t="s">
        <v>5</v>
      </c>
      <c r="AI255" s="2" t="s">
        <v>5</v>
      </c>
      <c r="AJ255" s="2" t="s">
        <v>5</v>
      </c>
      <c r="AK255" s="2" t="s">
        <v>5</v>
      </c>
    </row>
    <row r="256" spans="2:37" ht="12.5">
      <c r="B256" s="2" t="str">
        <f ca="1">IFERROR(__xludf.DUMMYFUNCTION("""COMPUTED_VALUE"""),"鳳高")</f>
        <v>鳳高</v>
      </c>
      <c r="C256" s="2" t="e">
        <f ca="1"/>
        <v>#N/A</v>
      </c>
      <c r="D256" s="2" t="e">
        <f ca="1"/>
        <v>#REF!</v>
      </c>
      <c r="E256" s="29" t="e">
        <f ca="1"/>
        <v>#REF!</v>
      </c>
      <c r="F256" s="30" t="e">
        <f ca="1"/>
        <v>#REF!</v>
      </c>
      <c r="G256" s="29" t="e">
        <f ca="1"/>
        <v>#REF!</v>
      </c>
      <c r="H256" s="30" t="e">
        <f ca="1"/>
        <v>#REF!</v>
      </c>
      <c r="I256" s="29" t="e">
        <f ca="1"/>
        <v>#REF!</v>
      </c>
      <c r="J256" s="29" t="e">
        <f ca="1"/>
        <v>#REF!</v>
      </c>
      <c r="K256" s="29" t="e">
        <f ca="1"/>
        <v>#REF!</v>
      </c>
      <c r="L256" s="29" t="e">
        <f ca="1"/>
        <v>#REF!</v>
      </c>
      <c r="M256" s="29" t="e">
        <f ca="1"/>
        <v>#REF!</v>
      </c>
      <c r="N256" s="29" t="e">
        <f ca="1"/>
        <v>#REF!</v>
      </c>
      <c r="O256" s="2" t="e">
        <f ca="1"/>
        <v>#N/A</v>
      </c>
      <c r="P256" s="2" t="e">
        <f ca="1"/>
        <v>#N/A</v>
      </c>
      <c r="Q256" s="2" t="s">
        <v>5</v>
      </c>
      <c r="R256" s="2" t="s">
        <v>5</v>
      </c>
      <c r="U256" s="2"/>
      <c r="V256" s="2" t="s">
        <v>5</v>
      </c>
      <c r="W256" s="2" t="s">
        <v>5</v>
      </c>
      <c r="X256" s="29" t="s">
        <v>5</v>
      </c>
      <c r="Y256" s="30" t="s">
        <v>5</v>
      </c>
      <c r="Z256" s="29" t="s">
        <v>5</v>
      </c>
      <c r="AA256" s="30" t="s">
        <v>5</v>
      </c>
      <c r="AB256" s="29" t="s">
        <v>5</v>
      </c>
      <c r="AC256" s="29" t="s">
        <v>5</v>
      </c>
      <c r="AD256" s="29" t="s">
        <v>5</v>
      </c>
      <c r="AE256" s="29" t="s">
        <v>5</v>
      </c>
      <c r="AF256" s="29" t="s">
        <v>5</v>
      </c>
      <c r="AG256" s="29" t="s">
        <v>5</v>
      </c>
      <c r="AH256" s="2" t="s">
        <v>5</v>
      </c>
      <c r="AI256" s="2" t="s">
        <v>5</v>
      </c>
      <c r="AJ256" s="2" t="s">
        <v>5</v>
      </c>
      <c r="AK256" s="2" t="s">
        <v>5</v>
      </c>
    </row>
    <row r="257" spans="2:37" ht="12.5">
      <c r="B257" s="2" t="str">
        <f ca="1">IFERROR(__xludf.DUMMYFUNCTION("""COMPUTED_VALUE"""),"Kimbolton")</f>
        <v>Kimbolton</v>
      </c>
      <c r="C257" s="2" t="e">
        <f ca="1"/>
        <v>#N/A</v>
      </c>
      <c r="D257" s="2" t="e">
        <f ca="1"/>
        <v>#REF!</v>
      </c>
      <c r="E257" s="29" t="e">
        <f ca="1"/>
        <v>#REF!</v>
      </c>
      <c r="F257" s="30" t="e">
        <f ca="1"/>
        <v>#REF!</v>
      </c>
      <c r="G257" s="29" t="e">
        <f ca="1"/>
        <v>#REF!</v>
      </c>
      <c r="H257" s="30" t="e">
        <f ca="1"/>
        <v>#REF!</v>
      </c>
      <c r="I257" s="29" t="e">
        <f ca="1"/>
        <v>#REF!</v>
      </c>
      <c r="J257" s="29" t="e">
        <f ca="1"/>
        <v>#REF!</v>
      </c>
      <c r="K257" s="29" t="e">
        <f ca="1"/>
        <v>#REF!</v>
      </c>
      <c r="L257" s="29" t="e">
        <f ca="1"/>
        <v>#REF!</v>
      </c>
      <c r="M257" s="29" t="e">
        <f ca="1"/>
        <v>#REF!</v>
      </c>
      <c r="N257" s="29" t="e">
        <f ca="1"/>
        <v>#REF!</v>
      </c>
      <c r="O257" s="2" t="e">
        <f ca="1"/>
        <v>#N/A</v>
      </c>
      <c r="P257" s="2" t="e">
        <f ca="1"/>
        <v>#N/A</v>
      </c>
      <c r="Q257" s="2" t="s">
        <v>5</v>
      </c>
      <c r="R257" s="2" t="s">
        <v>5</v>
      </c>
      <c r="U257" s="2"/>
      <c r="V257" s="2" t="s">
        <v>5</v>
      </c>
      <c r="W257" s="2" t="s">
        <v>5</v>
      </c>
      <c r="X257" s="29" t="s">
        <v>5</v>
      </c>
      <c r="Y257" s="30" t="s">
        <v>5</v>
      </c>
      <c r="Z257" s="29" t="s">
        <v>5</v>
      </c>
      <c r="AA257" s="30" t="s">
        <v>5</v>
      </c>
      <c r="AB257" s="29" t="s">
        <v>5</v>
      </c>
      <c r="AC257" s="29" t="s">
        <v>5</v>
      </c>
      <c r="AD257" s="29" t="s">
        <v>5</v>
      </c>
      <c r="AE257" s="29" t="s">
        <v>5</v>
      </c>
      <c r="AF257" s="29" t="s">
        <v>5</v>
      </c>
      <c r="AG257" s="29" t="s">
        <v>5</v>
      </c>
      <c r="AH257" s="2" t="s">
        <v>5</v>
      </c>
      <c r="AI257" s="2" t="s">
        <v>5</v>
      </c>
      <c r="AJ257" s="2" t="s">
        <v>5</v>
      </c>
      <c r="AK257" s="2" t="s">
        <v>5</v>
      </c>
    </row>
    <row r="258" spans="2:37" ht="12.5">
      <c r="B258" s="2" t="str">
        <f ca="1">IFERROR(__xludf.DUMMYFUNCTION("""COMPUTED_VALUE"""),"東京農大二高")</f>
        <v>東京農大二高</v>
      </c>
      <c r="C258" s="2" t="e">
        <f ca="1"/>
        <v>#N/A</v>
      </c>
      <c r="D258" s="2" t="e">
        <f ca="1"/>
        <v>#REF!</v>
      </c>
      <c r="E258" s="29" t="e">
        <f ca="1"/>
        <v>#REF!</v>
      </c>
      <c r="F258" s="30" t="e">
        <f ca="1"/>
        <v>#REF!</v>
      </c>
      <c r="G258" s="29" t="e">
        <f ca="1"/>
        <v>#REF!</v>
      </c>
      <c r="H258" s="30" t="e">
        <f ca="1"/>
        <v>#REF!</v>
      </c>
      <c r="I258" s="29" t="e">
        <f ca="1"/>
        <v>#REF!</v>
      </c>
      <c r="J258" s="29" t="e">
        <f ca="1"/>
        <v>#REF!</v>
      </c>
      <c r="K258" s="29" t="e">
        <f ca="1"/>
        <v>#REF!</v>
      </c>
      <c r="L258" s="29" t="e">
        <f ca="1"/>
        <v>#REF!</v>
      </c>
      <c r="M258" s="29" t="e">
        <f ca="1"/>
        <v>#REF!</v>
      </c>
      <c r="N258" s="29" t="e">
        <f ca="1"/>
        <v>#REF!</v>
      </c>
      <c r="O258" s="2" t="e">
        <f ca="1"/>
        <v>#N/A</v>
      </c>
      <c r="P258" s="2" t="e">
        <f ca="1"/>
        <v>#N/A</v>
      </c>
      <c r="Q258" s="2" t="s">
        <v>5</v>
      </c>
      <c r="R258" s="2" t="s">
        <v>5</v>
      </c>
      <c r="U258" s="2"/>
      <c r="V258" s="2" t="s">
        <v>5</v>
      </c>
      <c r="W258" s="2" t="s">
        <v>5</v>
      </c>
      <c r="X258" s="29" t="s">
        <v>5</v>
      </c>
      <c r="Y258" s="30" t="s">
        <v>5</v>
      </c>
      <c r="Z258" s="29" t="s">
        <v>5</v>
      </c>
      <c r="AA258" s="30" t="s">
        <v>5</v>
      </c>
      <c r="AB258" s="29" t="s">
        <v>5</v>
      </c>
      <c r="AC258" s="29" t="s">
        <v>5</v>
      </c>
      <c r="AD258" s="29" t="s">
        <v>5</v>
      </c>
      <c r="AE258" s="29" t="s">
        <v>5</v>
      </c>
      <c r="AF258" s="29" t="s">
        <v>5</v>
      </c>
      <c r="AG258" s="29" t="s">
        <v>5</v>
      </c>
      <c r="AH258" s="2" t="s">
        <v>5</v>
      </c>
      <c r="AI258" s="2" t="s">
        <v>5</v>
      </c>
      <c r="AJ258" s="2" t="s">
        <v>5</v>
      </c>
      <c r="AK258" s="2" t="s">
        <v>5</v>
      </c>
    </row>
    <row r="259" spans="2:37" ht="12.5">
      <c r="B259" s="2" t="str">
        <f ca="1">IFERROR(__xludf.DUMMYFUNCTION("""COMPUTED_VALUE"""),"藤島高")</f>
        <v>藤島高</v>
      </c>
      <c r="C259" s="2" t="e">
        <f ca="1"/>
        <v>#N/A</v>
      </c>
      <c r="D259" s="2" t="e">
        <f ca="1"/>
        <v>#REF!</v>
      </c>
      <c r="E259" s="29" t="e">
        <f ca="1"/>
        <v>#REF!</v>
      </c>
      <c r="F259" s="30" t="e">
        <f ca="1"/>
        <v>#REF!</v>
      </c>
      <c r="G259" s="29" t="e">
        <f ca="1"/>
        <v>#REF!</v>
      </c>
      <c r="H259" s="30" t="e">
        <f ca="1"/>
        <v>#REF!</v>
      </c>
      <c r="I259" s="29" t="e">
        <f ca="1"/>
        <v>#REF!</v>
      </c>
      <c r="J259" s="29" t="e">
        <f ca="1"/>
        <v>#REF!</v>
      </c>
      <c r="K259" s="29" t="e">
        <f ca="1"/>
        <v>#REF!</v>
      </c>
      <c r="L259" s="29" t="e">
        <f ca="1"/>
        <v>#REF!</v>
      </c>
      <c r="M259" s="29" t="e">
        <f ca="1"/>
        <v>#REF!</v>
      </c>
      <c r="N259" s="29" t="e">
        <f ca="1"/>
        <v>#REF!</v>
      </c>
      <c r="O259" s="2" t="e">
        <f ca="1"/>
        <v>#N/A</v>
      </c>
      <c r="P259" s="2" t="e">
        <f ca="1"/>
        <v>#N/A</v>
      </c>
      <c r="Q259" s="2" t="s">
        <v>5</v>
      </c>
      <c r="R259" s="2" t="s">
        <v>5</v>
      </c>
      <c r="U259" s="2"/>
      <c r="V259" s="2" t="s">
        <v>5</v>
      </c>
      <c r="W259" s="2" t="s">
        <v>5</v>
      </c>
      <c r="X259" s="29" t="s">
        <v>5</v>
      </c>
      <c r="Y259" s="30" t="s">
        <v>5</v>
      </c>
      <c r="Z259" s="29" t="s">
        <v>5</v>
      </c>
      <c r="AA259" s="30" t="s">
        <v>5</v>
      </c>
      <c r="AB259" s="29" t="s">
        <v>5</v>
      </c>
      <c r="AC259" s="29" t="s">
        <v>5</v>
      </c>
      <c r="AD259" s="29" t="s">
        <v>5</v>
      </c>
      <c r="AE259" s="29" t="s">
        <v>5</v>
      </c>
      <c r="AF259" s="29" t="s">
        <v>5</v>
      </c>
      <c r="AG259" s="29" t="s">
        <v>5</v>
      </c>
      <c r="AH259" s="2" t="s">
        <v>5</v>
      </c>
      <c r="AI259" s="2" t="s">
        <v>5</v>
      </c>
      <c r="AJ259" s="2" t="s">
        <v>5</v>
      </c>
      <c r="AK259" s="2" t="s">
        <v>5</v>
      </c>
    </row>
    <row r="260" spans="2:37" ht="12.5">
      <c r="B260" s="2" t="str">
        <f ca="1">IFERROR(__xludf.DUMMYFUNCTION("""COMPUTED_VALUE"""),"市立長野高")</f>
        <v>市立長野高</v>
      </c>
      <c r="C260" s="2" t="e">
        <f ca="1"/>
        <v>#N/A</v>
      </c>
      <c r="D260" s="2" t="e">
        <f ca="1"/>
        <v>#REF!</v>
      </c>
      <c r="E260" s="29" t="e">
        <f ca="1"/>
        <v>#REF!</v>
      </c>
      <c r="F260" s="30" t="e">
        <f ca="1"/>
        <v>#REF!</v>
      </c>
      <c r="G260" s="29" t="e">
        <f ca="1"/>
        <v>#REF!</v>
      </c>
      <c r="H260" s="30" t="e">
        <f ca="1"/>
        <v>#REF!</v>
      </c>
      <c r="I260" s="29" t="e">
        <f ca="1"/>
        <v>#REF!</v>
      </c>
      <c r="J260" s="29" t="e">
        <f ca="1"/>
        <v>#REF!</v>
      </c>
      <c r="K260" s="29" t="e">
        <f ca="1"/>
        <v>#REF!</v>
      </c>
      <c r="L260" s="29" t="e">
        <f ca="1"/>
        <v>#REF!</v>
      </c>
      <c r="M260" s="29" t="e">
        <f ca="1"/>
        <v>#REF!</v>
      </c>
      <c r="N260" s="29" t="e">
        <f ca="1"/>
        <v>#REF!</v>
      </c>
      <c r="O260" s="2" t="e">
        <f ca="1"/>
        <v>#N/A</v>
      </c>
      <c r="P260" s="2" t="e">
        <f ca="1"/>
        <v>#N/A</v>
      </c>
      <c r="Q260" s="2" t="s">
        <v>5</v>
      </c>
      <c r="R260" s="2" t="s">
        <v>5</v>
      </c>
      <c r="U260" s="2"/>
      <c r="V260" s="2" t="s">
        <v>5</v>
      </c>
      <c r="W260" s="2" t="s">
        <v>5</v>
      </c>
      <c r="X260" s="29" t="s">
        <v>5</v>
      </c>
      <c r="Y260" s="30" t="s">
        <v>5</v>
      </c>
      <c r="Z260" s="29" t="s">
        <v>5</v>
      </c>
      <c r="AA260" s="30" t="s">
        <v>5</v>
      </c>
      <c r="AB260" s="29" t="s">
        <v>5</v>
      </c>
      <c r="AC260" s="29" t="s">
        <v>5</v>
      </c>
      <c r="AD260" s="29" t="s">
        <v>5</v>
      </c>
      <c r="AE260" s="29" t="s">
        <v>5</v>
      </c>
      <c r="AF260" s="29" t="s">
        <v>5</v>
      </c>
      <c r="AG260" s="29" t="s">
        <v>5</v>
      </c>
      <c r="AH260" s="2" t="s">
        <v>5</v>
      </c>
      <c r="AI260" s="2" t="s">
        <v>5</v>
      </c>
      <c r="AJ260" s="2" t="s">
        <v>5</v>
      </c>
      <c r="AK260" s="2" t="s">
        <v>5</v>
      </c>
    </row>
    <row r="261" spans="2:37" ht="12.5">
      <c r="B261" s="2" t="str">
        <f ca="1">IFERROR(__xludf.DUMMYFUNCTION("""COMPUTED_VALUE"""),"同志社高")</f>
        <v>同志社高</v>
      </c>
      <c r="C261" s="2" t="e">
        <f ca="1"/>
        <v>#N/A</v>
      </c>
      <c r="D261" s="2" t="e">
        <f ca="1"/>
        <v>#REF!</v>
      </c>
      <c r="E261" s="29" t="e">
        <f ca="1"/>
        <v>#REF!</v>
      </c>
      <c r="F261" s="30" t="e">
        <f ca="1"/>
        <v>#REF!</v>
      </c>
      <c r="G261" s="29" t="e">
        <f ca="1"/>
        <v>#REF!</v>
      </c>
      <c r="H261" s="30" t="e">
        <f ca="1"/>
        <v>#REF!</v>
      </c>
      <c r="I261" s="29" t="e">
        <f ca="1"/>
        <v>#REF!</v>
      </c>
      <c r="J261" s="29" t="e">
        <f ca="1"/>
        <v>#REF!</v>
      </c>
      <c r="K261" s="29" t="e">
        <f ca="1"/>
        <v>#REF!</v>
      </c>
      <c r="L261" s="29" t="e">
        <f ca="1"/>
        <v>#REF!</v>
      </c>
      <c r="M261" s="29" t="e">
        <f ca="1"/>
        <v>#REF!</v>
      </c>
      <c r="N261" s="29" t="e">
        <f ca="1"/>
        <v>#REF!</v>
      </c>
      <c r="O261" s="2" t="e">
        <f ca="1"/>
        <v>#N/A</v>
      </c>
      <c r="P261" s="2" t="e">
        <f ca="1"/>
        <v>#N/A</v>
      </c>
      <c r="Q261" s="2" t="s">
        <v>5</v>
      </c>
      <c r="R261" s="2" t="s">
        <v>5</v>
      </c>
      <c r="U261" s="2"/>
      <c r="V261" s="2" t="s">
        <v>5</v>
      </c>
      <c r="W261" s="2" t="s">
        <v>5</v>
      </c>
      <c r="X261" s="29" t="s">
        <v>5</v>
      </c>
      <c r="Y261" s="30" t="s">
        <v>5</v>
      </c>
      <c r="Z261" s="29" t="s">
        <v>5</v>
      </c>
      <c r="AA261" s="30" t="s">
        <v>5</v>
      </c>
      <c r="AB261" s="29" t="s">
        <v>5</v>
      </c>
      <c r="AC261" s="29" t="s">
        <v>5</v>
      </c>
      <c r="AD261" s="29" t="s">
        <v>5</v>
      </c>
      <c r="AE261" s="29" t="s">
        <v>5</v>
      </c>
      <c r="AF261" s="29" t="s">
        <v>5</v>
      </c>
      <c r="AG261" s="29" t="s">
        <v>5</v>
      </c>
      <c r="AH261" s="2" t="s">
        <v>5</v>
      </c>
      <c r="AI261" s="2" t="s">
        <v>5</v>
      </c>
      <c r="AJ261" s="2" t="s">
        <v>5</v>
      </c>
      <c r="AK261" s="2" t="s">
        <v>5</v>
      </c>
    </row>
    <row r="262" spans="2:37" ht="12.5">
      <c r="B262" s="2" t="str">
        <f ca="1">IFERROR(__xludf.DUMMYFUNCTION("""COMPUTED_VALUE"""),"育英西高")</f>
        <v>育英西高</v>
      </c>
      <c r="C262" s="2" t="e">
        <f ca="1"/>
        <v>#N/A</v>
      </c>
      <c r="D262" s="2" t="e">
        <f ca="1"/>
        <v>#REF!</v>
      </c>
      <c r="E262" s="29" t="e">
        <f ca="1"/>
        <v>#REF!</v>
      </c>
      <c r="F262" s="30" t="e">
        <f ca="1"/>
        <v>#REF!</v>
      </c>
      <c r="G262" s="29" t="e">
        <f ca="1"/>
        <v>#REF!</v>
      </c>
      <c r="H262" s="30" t="e">
        <f ca="1"/>
        <v>#REF!</v>
      </c>
      <c r="I262" s="29" t="e">
        <f ca="1"/>
        <v>#REF!</v>
      </c>
      <c r="J262" s="29" t="e">
        <f ca="1"/>
        <v>#REF!</v>
      </c>
      <c r="K262" s="29" t="e">
        <f ca="1"/>
        <v>#REF!</v>
      </c>
      <c r="L262" s="29" t="e">
        <f ca="1"/>
        <v>#REF!</v>
      </c>
      <c r="M262" s="29" t="e">
        <f ca="1"/>
        <v>#REF!</v>
      </c>
      <c r="N262" s="29" t="e">
        <f ca="1"/>
        <v>#REF!</v>
      </c>
      <c r="O262" s="2" t="e">
        <f ca="1"/>
        <v>#N/A</v>
      </c>
      <c r="P262" s="2" t="e">
        <f ca="1"/>
        <v>#N/A</v>
      </c>
      <c r="Q262" s="2" t="s">
        <v>5</v>
      </c>
      <c r="R262" s="2" t="s">
        <v>5</v>
      </c>
      <c r="U262" s="2"/>
      <c r="V262" s="2" t="s">
        <v>5</v>
      </c>
      <c r="W262" s="2" t="s">
        <v>5</v>
      </c>
      <c r="X262" s="29" t="s">
        <v>5</v>
      </c>
      <c r="Y262" s="30" t="s">
        <v>5</v>
      </c>
      <c r="Z262" s="29" t="s">
        <v>5</v>
      </c>
      <c r="AA262" s="30" t="s">
        <v>5</v>
      </c>
      <c r="AB262" s="29" t="s">
        <v>5</v>
      </c>
      <c r="AC262" s="29" t="s">
        <v>5</v>
      </c>
      <c r="AD262" s="29" t="s">
        <v>5</v>
      </c>
      <c r="AE262" s="29" t="s">
        <v>5</v>
      </c>
      <c r="AF262" s="29" t="s">
        <v>5</v>
      </c>
      <c r="AG262" s="29" t="s">
        <v>5</v>
      </c>
      <c r="AH262" s="2" t="s">
        <v>5</v>
      </c>
      <c r="AI262" s="2" t="s">
        <v>5</v>
      </c>
      <c r="AJ262" s="2" t="s">
        <v>5</v>
      </c>
      <c r="AK262" s="2" t="s">
        <v>5</v>
      </c>
    </row>
    <row r="263" spans="2:37" ht="12.5">
      <c r="B263" s="2" t="str">
        <f ca="1">IFERROR(__xludf.DUMMYFUNCTION("""COMPUTED_VALUE"""),"羽黒高")</f>
        <v>羽黒高</v>
      </c>
      <c r="C263" s="2" t="e">
        <f ca="1"/>
        <v>#N/A</v>
      </c>
      <c r="D263" s="2" t="e">
        <f ca="1"/>
        <v>#REF!</v>
      </c>
      <c r="E263" s="29" t="e">
        <f ca="1"/>
        <v>#REF!</v>
      </c>
      <c r="F263" s="30" t="e">
        <f ca="1"/>
        <v>#REF!</v>
      </c>
      <c r="G263" s="29" t="e">
        <f ca="1"/>
        <v>#REF!</v>
      </c>
      <c r="H263" s="30" t="e">
        <f ca="1"/>
        <v>#REF!</v>
      </c>
      <c r="I263" s="29" t="e">
        <f ca="1"/>
        <v>#REF!</v>
      </c>
      <c r="J263" s="29" t="e">
        <f ca="1"/>
        <v>#REF!</v>
      </c>
      <c r="K263" s="29" t="e">
        <f ca="1"/>
        <v>#REF!</v>
      </c>
      <c r="L263" s="29" t="e">
        <f ca="1"/>
        <v>#REF!</v>
      </c>
      <c r="M263" s="29" t="e">
        <f ca="1"/>
        <v>#REF!</v>
      </c>
      <c r="N263" s="29" t="e">
        <f ca="1"/>
        <v>#REF!</v>
      </c>
      <c r="O263" s="2" t="e">
        <f ca="1"/>
        <v>#N/A</v>
      </c>
      <c r="P263" s="2" t="e">
        <f ca="1"/>
        <v>#N/A</v>
      </c>
      <c r="Q263" s="2" t="s">
        <v>5</v>
      </c>
      <c r="R263" s="2" t="s">
        <v>5</v>
      </c>
      <c r="U263" s="2"/>
      <c r="V263" s="2" t="s">
        <v>5</v>
      </c>
      <c r="W263" s="2" t="s">
        <v>5</v>
      </c>
      <c r="X263" s="29" t="s">
        <v>5</v>
      </c>
      <c r="Y263" s="30" t="s">
        <v>5</v>
      </c>
      <c r="Z263" s="29" t="s">
        <v>5</v>
      </c>
      <c r="AA263" s="30" t="s">
        <v>5</v>
      </c>
      <c r="AB263" s="29" t="s">
        <v>5</v>
      </c>
      <c r="AC263" s="29" t="s">
        <v>5</v>
      </c>
      <c r="AD263" s="29" t="s">
        <v>5</v>
      </c>
      <c r="AE263" s="29" t="s">
        <v>5</v>
      </c>
      <c r="AF263" s="29" t="s">
        <v>5</v>
      </c>
      <c r="AG263" s="29" t="s">
        <v>5</v>
      </c>
      <c r="AH263" s="2" t="s">
        <v>5</v>
      </c>
      <c r="AI263" s="2" t="s">
        <v>5</v>
      </c>
      <c r="AJ263" s="2" t="s">
        <v>5</v>
      </c>
      <c r="AK263" s="2" t="s">
        <v>5</v>
      </c>
    </row>
    <row r="264" spans="2:37" ht="12.5">
      <c r="B264" s="2" t="str">
        <f ca="1">IFERROR(__xludf.DUMMYFUNCTION("""COMPUTED_VALUE"""),"久留米商業高")</f>
        <v>久留米商業高</v>
      </c>
      <c r="C264" s="2" t="e">
        <f ca="1"/>
        <v>#N/A</v>
      </c>
      <c r="D264" s="2" t="e">
        <f ca="1"/>
        <v>#REF!</v>
      </c>
      <c r="E264" s="29" t="e">
        <f ca="1"/>
        <v>#REF!</v>
      </c>
      <c r="F264" s="30" t="e">
        <f ca="1"/>
        <v>#REF!</v>
      </c>
      <c r="G264" s="29" t="e">
        <f ca="1"/>
        <v>#REF!</v>
      </c>
      <c r="H264" s="30" t="e">
        <f ca="1"/>
        <v>#REF!</v>
      </c>
      <c r="I264" s="29" t="e">
        <f ca="1"/>
        <v>#REF!</v>
      </c>
      <c r="J264" s="29" t="e">
        <f ca="1"/>
        <v>#REF!</v>
      </c>
      <c r="K264" s="29" t="e">
        <f ca="1"/>
        <v>#REF!</v>
      </c>
      <c r="L264" s="29" t="e">
        <f ca="1"/>
        <v>#REF!</v>
      </c>
      <c r="M264" s="29" t="e">
        <f ca="1"/>
        <v>#REF!</v>
      </c>
      <c r="N264" s="29" t="e">
        <f ca="1"/>
        <v>#REF!</v>
      </c>
      <c r="O264" s="2" t="e">
        <f ca="1"/>
        <v>#N/A</v>
      </c>
      <c r="P264" s="2" t="e">
        <f ca="1"/>
        <v>#N/A</v>
      </c>
      <c r="Q264" s="2" t="s">
        <v>5</v>
      </c>
      <c r="R264" s="2" t="s">
        <v>5</v>
      </c>
      <c r="U264" s="2"/>
      <c r="V264" s="2" t="s">
        <v>5</v>
      </c>
      <c r="W264" s="2" t="s">
        <v>5</v>
      </c>
      <c r="X264" s="29" t="s">
        <v>5</v>
      </c>
      <c r="Y264" s="30" t="s">
        <v>5</v>
      </c>
      <c r="Z264" s="29" t="s">
        <v>5</v>
      </c>
      <c r="AA264" s="30" t="s">
        <v>5</v>
      </c>
      <c r="AB264" s="29" t="s">
        <v>5</v>
      </c>
      <c r="AC264" s="29" t="s">
        <v>5</v>
      </c>
      <c r="AD264" s="29" t="s">
        <v>5</v>
      </c>
      <c r="AE264" s="29" t="s">
        <v>5</v>
      </c>
      <c r="AF264" s="29" t="s">
        <v>5</v>
      </c>
      <c r="AG264" s="29" t="s">
        <v>5</v>
      </c>
      <c r="AH264" s="2" t="s">
        <v>5</v>
      </c>
      <c r="AI264" s="2" t="s">
        <v>5</v>
      </c>
      <c r="AJ264" s="2" t="s">
        <v>5</v>
      </c>
      <c r="AK264" s="2" t="s">
        <v>5</v>
      </c>
    </row>
    <row r="265" spans="2:37" ht="12.5">
      <c r="B265" s="2" t="str">
        <f ca="1">IFERROR(__xludf.DUMMYFUNCTION("""COMPUTED_VALUE"""),"成瀬高")</f>
        <v>成瀬高</v>
      </c>
      <c r="C265" s="2" t="e">
        <f ca="1"/>
        <v>#N/A</v>
      </c>
      <c r="D265" s="2" t="e">
        <f ca="1"/>
        <v>#REF!</v>
      </c>
      <c r="E265" s="29" t="e">
        <f ca="1"/>
        <v>#REF!</v>
      </c>
      <c r="F265" s="30" t="e">
        <f ca="1"/>
        <v>#REF!</v>
      </c>
      <c r="G265" s="29" t="e">
        <f ca="1"/>
        <v>#REF!</v>
      </c>
      <c r="H265" s="30" t="e">
        <f ca="1"/>
        <v>#REF!</v>
      </c>
      <c r="I265" s="29" t="e">
        <f ca="1"/>
        <v>#REF!</v>
      </c>
      <c r="J265" s="29" t="e">
        <f ca="1"/>
        <v>#REF!</v>
      </c>
      <c r="K265" s="29" t="e">
        <f ca="1"/>
        <v>#REF!</v>
      </c>
      <c r="L265" s="29" t="e">
        <f ca="1"/>
        <v>#REF!</v>
      </c>
      <c r="M265" s="29" t="e">
        <f ca="1"/>
        <v>#REF!</v>
      </c>
      <c r="N265" s="29" t="e">
        <f ca="1"/>
        <v>#REF!</v>
      </c>
      <c r="O265" s="2" t="e">
        <f ca="1"/>
        <v>#N/A</v>
      </c>
      <c r="P265" s="2" t="e">
        <f ca="1"/>
        <v>#N/A</v>
      </c>
      <c r="Q265" s="2" t="s">
        <v>5</v>
      </c>
      <c r="R265" s="2" t="s">
        <v>5</v>
      </c>
      <c r="U265" s="2"/>
      <c r="V265" s="2" t="s">
        <v>5</v>
      </c>
      <c r="W265" s="2" t="s">
        <v>5</v>
      </c>
      <c r="X265" s="29" t="s">
        <v>5</v>
      </c>
      <c r="Y265" s="30" t="s">
        <v>5</v>
      </c>
      <c r="Z265" s="29" t="s">
        <v>5</v>
      </c>
      <c r="AA265" s="30" t="s">
        <v>5</v>
      </c>
      <c r="AB265" s="29" t="s">
        <v>5</v>
      </c>
      <c r="AC265" s="29" t="s">
        <v>5</v>
      </c>
      <c r="AD265" s="29" t="s">
        <v>5</v>
      </c>
      <c r="AE265" s="29" t="s">
        <v>5</v>
      </c>
      <c r="AF265" s="29" t="s">
        <v>5</v>
      </c>
      <c r="AG265" s="29" t="s">
        <v>5</v>
      </c>
      <c r="AH265" s="2" t="s">
        <v>5</v>
      </c>
      <c r="AI265" s="2" t="s">
        <v>5</v>
      </c>
      <c r="AJ265" s="2" t="s">
        <v>5</v>
      </c>
      <c r="AK265" s="2" t="s">
        <v>5</v>
      </c>
    </row>
    <row r="266" spans="2:37" ht="12.5">
      <c r="B266" s="2" t="str">
        <f ca="1">IFERROR(__xludf.DUMMYFUNCTION("""COMPUTED_VALUE"""),"奈良育英高")</f>
        <v>奈良育英高</v>
      </c>
      <c r="C266" s="2" t="e">
        <f ca="1"/>
        <v>#N/A</v>
      </c>
      <c r="D266" s="2" t="e">
        <f ca="1"/>
        <v>#REF!</v>
      </c>
      <c r="E266" s="29" t="e">
        <f ca="1"/>
        <v>#REF!</v>
      </c>
      <c r="F266" s="30" t="e">
        <f ca="1"/>
        <v>#REF!</v>
      </c>
      <c r="G266" s="29" t="e">
        <f ca="1"/>
        <v>#REF!</v>
      </c>
      <c r="H266" s="30" t="e">
        <f ca="1"/>
        <v>#REF!</v>
      </c>
      <c r="I266" s="29" t="e">
        <f ca="1"/>
        <v>#REF!</v>
      </c>
      <c r="J266" s="29" t="e">
        <f ca="1"/>
        <v>#REF!</v>
      </c>
      <c r="K266" s="29" t="e">
        <f ca="1"/>
        <v>#REF!</v>
      </c>
      <c r="L266" s="29" t="e">
        <f ca="1"/>
        <v>#REF!</v>
      </c>
      <c r="M266" s="29" t="e">
        <f ca="1"/>
        <v>#REF!</v>
      </c>
      <c r="N266" s="29" t="e">
        <f ca="1"/>
        <v>#REF!</v>
      </c>
      <c r="O266" s="2" t="e">
        <f ca="1"/>
        <v>#N/A</v>
      </c>
      <c r="P266" s="2" t="e">
        <f ca="1"/>
        <v>#N/A</v>
      </c>
      <c r="Q266" s="2" t="s">
        <v>5</v>
      </c>
      <c r="R266" s="2" t="s">
        <v>5</v>
      </c>
      <c r="U266" s="2"/>
      <c r="V266" s="2" t="s">
        <v>5</v>
      </c>
      <c r="W266" s="2" t="s">
        <v>5</v>
      </c>
      <c r="X266" s="29" t="s">
        <v>5</v>
      </c>
      <c r="Y266" s="30" t="s">
        <v>5</v>
      </c>
      <c r="Z266" s="29" t="s">
        <v>5</v>
      </c>
      <c r="AA266" s="30" t="s">
        <v>5</v>
      </c>
      <c r="AB266" s="29" t="s">
        <v>5</v>
      </c>
      <c r="AC266" s="29" t="s">
        <v>5</v>
      </c>
      <c r="AD266" s="29" t="s">
        <v>5</v>
      </c>
      <c r="AE266" s="29" t="s">
        <v>5</v>
      </c>
      <c r="AF266" s="29" t="s">
        <v>5</v>
      </c>
      <c r="AG266" s="29" t="s">
        <v>5</v>
      </c>
      <c r="AH266" s="2" t="s">
        <v>5</v>
      </c>
      <c r="AI266" s="2" t="s">
        <v>5</v>
      </c>
      <c r="AJ266" s="2" t="s">
        <v>5</v>
      </c>
      <c r="AK266" s="2" t="s">
        <v>5</v>
      </c>
    </row>
    <row r="267" spans="2:37" ht="12.5">
      <c r="B267" s="2" t="str">
        <f ca="1">IFERROR(__xludf.DUMMYFUNCTION("""COMPUTED_VALUE"""),"いちりつ高")</f>
        <v>いちりつ高</v>
      </c>
      <c r="C267" s="2" t="e">
        <f ca="1"/>
        <v>#N/A</v>
      </c>
      <c r="D267" s="2" t="e">
        <f ca="1"/>
        <v>#REF!</v>
      </c>
      <c r="E267" s="29" t="e">
        <f ca="1"/>
        <v>#REF!</v>
      </c>
      <c r="F267" s="30" t="e">
        <f ca="1"/>
        <v>#REF!</v>
      </c>
      <c r="G267" s="29" t="e">
        <f ca="1"/>
        <v>#REF!</v>
      </c>
      <c r="H267" s="30" t="e">
        <f ca="1"/>
        <v>#REF!</v>
      </c>
      <c r="I267" s="29" t="e">
        <f ca="1"/>
        <v>#REF!</v>
      </c>
      <c r="J267" s="29" t="e">
        <f ca="1"/>
        <v>#REF!</v>
      </c>
      <c r="K267" s="29" t="e">
        <f ca="1"/>
        <v>#REF!</v>
      </c>
      <c r="L267" s="29" t="e">
        <f ca="1"/>
        <v>#REF!</v>
      </c>
      <c r="M267" s="29" t="e">
        <f ca="1"/>
        <v>#REF!</v>
      </c>
      <c r="N267" s="29" t="e">
        <f ca="1"/>
        <v>#REF!</v>
      </c>
      <c r="O267" s="2" t="e">
        <f ca="1"/>
        <v>#N/A</v>
      </c>
      <c r="P267" s="2" t="e">
        <f ca="1"/>
        <v>#N/A</v>
      </c>
      <c r="Q267" s="2" t="s">
        <v>5</v>
      </c>
      <c r="R267" s="2" t="s">
        <v>5</v>
      </c>
      <c r="U267" s="2"/>
      <c r="V267" s="2" t="s">
        <v>5</v>
      </c>
      <c r="W267" s="2" t="s">
        <v>5</v>
      </c>
      <c r="X267" s="29" t="s">
        <v>5</v>
      </c>
      <c r="Y267" s="30" t="s">
        <v>5</v>
      </c>
      <c r="Z267" s="29" t="s">
        <v>5</v>
      </c>
      <c r="AA267" s="30" t="s">
        <v>5</v>
      </c>
      <c r="AB267" s="29" t="s">
        <v>5</v>
      </c>
      <c r="AC267" s="29" t="s">
        <v>5</v>
      </c>
      <c r="AD267" s="29" t="s">
        <v>5</v>
      </c>
      <c r="AE267" s="29" t="s">
        <v>5</v>
      </c>
      <c r="AF267" s="29" t="s">
        <v>5</v>
      </c>
      <c r="AG267" s="29" t="s">
        <v>5</v>
      </c>
      <c r="AH267" s="2" t="s">
        <v>5</v>
      </c>
      <c r="AI267" s="2" t="s">
        <v>5</v>
      </c>
      <c r="AJ267" s="2" t="s">
        <v>5</v>
      </c>
      <c r="AK267" s="2" t="s">
        <v>5</v>
      </c>
    </row>
    <row r="268" spans="2:37" ht="12.5">
      <c r="B268" s="2" t="str">
        <f ca="1">IFERROR(__xludf.DUMMYFUNCTION("""COMPUTED_VALUE"""),"須磨学園高")</f>
        <v>須磨学園高</v>
      </c>
      <c r="C268" s="2" t="e">
        <f ca="1"/>
        <v>#N/A</v>
      </c>
      <c r="D268" s="2" t="e">
        <f ca="1"/>
        <v>#REF!</v>
      </c>
      <c r="E268" s="29" t="e">
        <f ca="1"/>
        <v>#REF!</v>
      </c>
      <c r="F268" s="30" t="e">
        <f ca="1"/>
        <v>#REF!</v>
      </c>
      <c r="G268" s="29" t="e">
        <f ca="1"/>
        <v>#REF!</v>
      </c>
      <c r="H268" s="30" t="e">
        <f ca="1"/>
        <v>#REF!</v>
      </c>
      <c r="I268" s="29" t="e">
        <f ca="1"/>
        <v>#REF!</v>
      </c>
      <c r="J268" s="29" t="e">
        <f ca="1"/>
        <v>#REF!</v>
      </c>
      <c r="K268" s="29" t="e">
        <f ca="1"/>
        <v>#REF!</v>
      </c>
      <c r="L268" s="29" t="e">
        <f ca="1"/>
        <v>#REF!</v>
      </c>
      <c r="M268" s="29" t="e">
        <f ca="1"/>
        <v>#REF!</v>
      </c>
      <c r="N268" s="29" t="e">
        <f ca="1"/>
        <v>#REF!</v>
      </c>
      <c r="O268" s="2" t="e">
        <f ca="1"/>
        <v>#N/A</v>
      </c>
      <c r="P268" s="2" t="e">
        <f ca="1"/>
        <v>#N/A</v>
      </c>
      <c r="Q268" s="2" t="s">
        <v>5</v>
      </c>
      <c r="R268" s="2" t="s">
        <v>5</v>
      </c>
      <c r="U268" s="2"/>
      <c r="V268" s="2" t="s">
        <v>5</v>
      </c>
      <c r="W268" s="2" t="s">
        <v>5</v>
      </c>
      <c r="X268" s="29" t="s">
        <v>5</v>
      </c>
      <c r="Y268" s="30" t="s">
        <v>5</v>
      </c>
      <c r="Z268" s="29" t="s">
        <v>5</v>
      </c>
      <c r="AA268" s="30" t="s">
        <v>5</v>
      </c>
      <c r="AB268" s="29" t="s">
        <v>5</v>
      </c>
      <c r="AC268" s="29" t="s">
        <v>5</v>
      </c>
      <c r="AD268" s="29" t="s">
        <v>5</v>
      </c>
      <c r="AE268" s="29" t="s">
        <v>5</v>
      </c>
      <c r="AF268" s="29" t="s">
        <v>5</v>
      </c>
      <c r="AG268" s="29" t="s">
        <v>5</v>
      </c>
      <c r="AH268" s="2" t="s">
        <v>5</v>
      </c>
      <c r="AI268" s="2" t="s">
        <v>5</v>
      </c>
      <c r="AJ268" s="2" t="s">
        <v>5</v>
      </c>
      <c r="AK268" s="2" t="s">
        <v>5</v>
      </c>
    </row>
    <row r="269" spans="2:37" ht="12.5">
      <c r="B269" s="2" t="str">
        <f ca="1">IFERROR(__xludf.DUMMYFUNCTION("""COMPUTED_VALUE"""),"東福岡高")</f>
        <v>東福岡高</v>
      </c>
      <c r="C269" s="2" t="e">
        <f ca="1"/>
        <v>#N/A</v>
      </c>
      <c r="D269" s="2" t="e">
        <f ca="1"/>
        <v>#REF!</v>
      </c>
      <c r="E269" s="29" t="e">
        <f ca="1"/>
        <v>#REF!</v>
      </c>
      <c r="F269" s="30" t="e">
        <f ca="1"/>
        <v>#REF!</v>
      </c>
      <c r="G269" s="29" t="e">
        <f ca="1"/>
        <v>#REF!</v>
      </c>
      <c r="H269" s="30" t="e">
        <f ca="1"/>
        <v>#REF!</v>
      </c>
      <c r="I269" s="29" t="e">
        <f ca="1"/>
        <v>#REF!</v>
      </c>
      <c r="J269" s="29" t="e">
        <f ca="1"/>
        <v>#REF!</v>
      </c>
      <c r="K269" s="29" t="e">
        <f ca="1"/>
        <v>#REF!</v>
      </c>
      <c r="L269" s="29" t="e">
        <f ca="1"/>
        <v>#REF!</v>
      </c>
      <c r="M269" s="29" t="e">
        <f ca="1"/>
        <v>#REF!</v>
      </c>
      <c r="N269" s="29" t="e">
        <f ca="1"/>
        <v>#REF!</v>
      </c>
      <c r="O269" s="2" t="e">
        <f ca="1"/>
        <v>#N/A</v>
      </c>
      <c r="P269" s="2" t="e">
        <f ca="1"/>
        <v>#N/A</v>
      </c>
      <c r="Q269" s="2" t="s">
        <v>5</v>
      </c>
      <c r="R269" s="2" t="s">
        <v>5</v>
      </c>
      <c r="U269" s="2"/>
      <c r="V269" s="2" t="s">
        <v>5</v>
      </c>
      <c r="W269" s="2" t="s">
        <v>5</v>
      </c>
      <c r="X269" s="29" t="s">
        <v>5</v>
      </c>
      <c r="Y269" s="30" t="s">
        <v>5</v>
      </c>
      <c r="Z269" s="29" t="s">
        <v>5</v>
      </c>
      <c r="AA269" s="30" t="s">
        <v>5</v>
      </c>
      <c r="AB269" s="29" t="s">
        <v>5</v>
      </c>
      <c r="AC269" s="29" t="s">
        <v>5</v>
      </c>
      <c r="AD269" s="29" t="s">
        <v>5</v>
      </c>
      <c r="AE269" s="29" t="s">
        <v>5</v>
      </c>
      <c r="AF269" s="29" t="s">
        <v>5</v>
      </c>
      <c r="AG269" s="29" t="s">
        <v>5</v>
      </c>
      <c r="AH269" s="2" t="s">
        <v>5</v>
      </c>
      <c r="AI269" s="2" t="s">
        <v>5</v>
      </c>
      <c r="AJ269" s="2" t="s">
        <v>5</v>
      </c>
      <c r="AK269" s="2" t="s">
        <v>5</v>
      </c>
    </row>
    <row r="270" spans="2:37" ht="12.5">
      <c r="B270" s="2" t="str">
        <f ca="1">IFERROR(__xludf.DUMMYFUNCTION("""COMPUTED_VALUE"""),"秋田北高")</f>
        <v>秋田北高</v>
      </c>
      <c r="C270" s="2" t="e">
        <f ca="1"/>
        <v>#N/A</v>
      </c>
      <c r="D270" s="2" t="e">
        <f ca="1"/>
        <v>#REF!</v>
      </c>
      <c r="E270" s="29" t="e">
        <f ca="1"/>
        <v>#REF!</v>
      </c>
      <c r="F270" s="30" t="e">
        <f ca="1"/>
        <v>#REF!</v>
      </c>
      <c r="G270" s="29" t="e">
        <f ca="1"/>
        <v>#REF!</v>
      </c>
      <c r="H270" s="30" t="e">
        <f ca="1"/>
        <v>#REF!</v>
      </c>
      <c r="I270" s="29" t="e">
        <f ca="1"/>
        <v>#REF!</v>
      </c>
      <c r="J270" s="29" t="e">
        <f ca="1"/>
        <v>#REF!</v>
      </c>
      <c r="K270" s="29" t="e">
        <f ca="1"/>
        <v>#REF!</v>
      </c>
      <c r="L270" s="29" t="e">
        <f ca="1"/>
        <v>#REF!</v>
      </c>
      <c r="M270" s="29" t="e">
        <f ca="1"/>
        <v>#REF!</v>
      </c>
      <c r="N270" s="29" t="e">
        <f ca="1"/>
        <v>#REF!</v>
      </c>
      <c r="O270" s="2" t="e">
        <f ca="1"/>
        <v>#N/A</v>
      </c>
      <c r="P270" s="2" t="e">
        <f ca="1"/>
        <v>#N/A</v>
      </c>
      <c r="Q270" s="2" t="s">
        <v>5</v>
      </c>
      <c r="R270" s="2" t="s">
        <v>5</v>
      </c>
      <c r="U270" s="2"/>
      <c r="V270" s="2" t="s">
        <v>5</v>
      </c>
      <c r="W270" s="2" t="s">
        <v>5</v>
      </c>
      <c r="X270" s="29" t="s">
        <v>5</v>
      </c>
      <c r="Y270" s="30" t="s">
        <v>5</v>
      </c>
      <c r="Z270" s="29" t="s">
        <v>5</v>
      </c>
      <c r="AA270" s="30" t="s">
        <v>5</v>
      </c>
      <c r="AB270" s="29" t="s">
        <v>5</v>
      </c>
      <c r="AC270" s="29" t="s">
        <v>5</v>
      </c>
      <c r="AD270" s="29" t="s">
        <v>5</v>
      </c>
      <c r="AE270" s="29" t="s">
        <v>5</v>
      </c>
      <c r="AF270" s="29" t="s">
        <v>5</v>
      </c>
      <c r="AG270" s="29" t="s">
        <v>5</v>
      </c>
      <c r="AH270" s="2" t="s">
        <v>5</v>
      </c>
      <c r="AI270" s="2" t="s">
        <v>5</v>
      </c>
      <c r="AJ270" s="2" t="s">
        <v>5</v>
      </c>
      <c r="AK270" s="2" t="s">
        <v>5</v>
      </c>
    </row>
    <row r="271" spans="2:37" ht="12.5">
      <c r="B271" s="2" t="str">
        <f ca="1">IFERROR(__xludf.DUMMYFUNCTION("""COMPUTED_VALUE"""),"取手聖徳女子高")</f>
        <v>取手聖徳女子高</v>
      </c>
      <c r="C271" s="2" t="e">
        <f ca="1"/>
        <v>#N/A</v>
      </c>
      <c r="D271" s="2" t="e">
        <f ca="1"/>
        <v>#REF!</v>
      </c>
      <c r="E271" s="29" t="e">
        <f ca="1"/>
        <v>#REF!</v>
      </c>
      <c r="F271" s="30" t="e">
        <f ca="1"/>
        <v>#REF!</v>
      </c>
      <c r="G271" s="29" t="e">
        <f ca="1"/>
        <v>#REF!</v>
      </c>
      <c r="H271" s="30" t="e">
        <f ca="1"/>
        <v>#REF!</v>
      </c>
      <c r="I271" s="29" t="e">
        <f ca="1"/>
        <v>#REF!</v>
      </c>
      <c r="J271" s="29" t="e">
        <f ca="1"/>
        <v>#REF!</v>
      </c>
      <c r="K271" s="29" t="e">
        <f ca="1"/>
        <v>#REF!</v>
      </c>
      <c r="L271" s="29" t="e">
        <f ca="1"/>
        <v>#REF!</v>
      </c>
      <c r="M271" s="29" t="e">
        <f ca="1"/>
        <v>#REF!</v>
      </c>
      <c r="N271" s="29" t="e">
        <f ca="1"/>
        <v>#REF!</v>
      </c>
      <c r="O271" s="2" t="e">
        <f ca="1"/>
        <v>#N/A</v>
      </c>
      <c r="P271" s="2" t="e">
        <f ca="1"/>
        <v>#N/A</v>
      </c>
      <c r="Q271" s="2" t="s">
        <v>5</v>
      </c>
      <c r="R271" s="2" t="s">
        <v>5</v>
      </c>
      <c r="U271" s="2"/>
      <c r="V271" s="2" t="s">
        <v>5</v>
      </c>
      <c r="W271" s="2" t="s">
        <v>5</v>
      </c>
      <c r="X271" s="29" t="s">
        <v>5</v>
      </c>
      <c r="Y271" s="30" t="s">
        <v>5</v>
      </c>
      <c r="Z271" s="29" t="s">
        <v>5</v>
      </c>
      <c r="AA271" s="30" t="s">
        <v>5</v>
      </c>
      <c r="AB271" s="29" t="s">
        <v>5</v>
      </c>
      <c r="AC271" s="29" t="s">
        <v>5</v>
      </c>
      <c r="AD271" s="29" t="s">
        <v>5</v>
      </c>
      <c r="AE271" s="29" t="s">
        <v>5</v>
      </c>
      <c r="AF271" s="29" t="s">
        <v>5</v>
      </c>
      <c r="AG271" s="29" t="s">
        <v>5</v>
      </c>
      <c r="AH271" s="2" t="s">
        <v>5</v>
      </c>
      <c r="AI271" s="2" t="s">
        <v>5</v>
      </c>
      <c r="AJ271" s="2" t="s">
        <v>5</v>
      </c>
      <c r="AK271" s="2" t="s">
        <v>5</v>
      </c>
    </row>
    <row r="272" spans="2:37" ht="12.5">
      <c r="B272" s="2" t="str">
        <f ca="1">IFERROR(__xludf.DUMMYFUNCTION("""COMPUTED_VALUE"""),"船橋高")</f>
        <v>船橋高</v>
      </c>
      <c r="C272" s="2" t="e">
        <f ca="1"/>
        <v>#N/A</v>
      </c>
      <c r="D272" s="2" t="e">
        <f ca="1"/>
        <v>#REF!</v>
      </c>
      <c r="E272" s="29" t="e">
        <f ca="1"/>
        <v>#REF!</v>
      </c>
      <c r="F272" s="30" t="e">
        <f ca="1"/>
        <v>#REF!</v>
      </c>
      <c r="G272" s="29" t="e">
        <f ca="1"/>
        <v>#REF!</v>
      </c>
      <c r="H272" s="30" t="e">
        <f ca="1"/>
        <v>#REF!</v>
      </c>
      <c r="I272" s="29" t="e">
        <f ca="1"/>
        <v>#REF!</v>
      </c>
      <c r="J272" s="29" t="e">
        <f ca="1"/>
        <v>#REF!</v>
      </c>
      <c r="K272" s="29" t="e">
        <f ca="1"/>
        <v>#REF!</v>
      </c>
      <c r="L272" s="29" t="e">
        <f ca="1"/>
        <v>#REF!</v>
      </c>
      <c r="M272" s="29" t="e">
        <f ca="1"/>
        <v>#REF!</v>
      </c>
      <c r="N272" s="29" t="e">
        <f ca="1"/>
        <v>#REF!</v>
      </c>
      <c r="O272" s="2" t="e">
        <f ca="1"/>
        <v>#N/A</v>
      </c>
      <c r="P272" s="2" t="e">
        <f ca="1"/>
        <v>#N/A</v>
      </c>
      <c r="Q272" s="2" t="s">
        <v>5</v>
      </c>
      <c r="R272" s="2" t="s">
        <v>5</v>
      </c>
      <c r="U272" s="2"/>
      <c r="V272" s="2" t="s">
        <v>5</v>
      </c>
      <c r="W272" s="2" t="s">
        <v>5</v>
      </c>
      <c r="X272" s="29" t="s">
        <v>5</v>
      </c>
      <c r="Y272" s="30" t="s">
        <v>5</v>
      </c>
      <c r="Z272" s="29" t="s">
        <v>5</v>
      </c>
      <c r="AA272" s="30" t="s">
        <v>5</v>
      </c>
      <c r="AB272" s="29" t="s">
        <v>5</v>
      </c>
      <c r="AC272" s="29" t="s">
        <v>5</v>
      </c>
      <c r="AD272" s="29" t="s">
        <v>5</v>
      </c>
      <c r="AE272" s="29" t="s">
        <v>5</v>
      </c>
      <c r="AF272" s="29" t="s">
        <v>5</v>
      </c>
      <c r="AG272" s="29" t="s">
        <v>5</v>
      </c>
      <c r="AH272" s="2" t="s">
        <v>5</v>
      </c>
      <c r="AI272" s="2" t="s">
        <v>5</v>
      </c>
      <c r="AJ272" s="2" t="s">
        <v>5</v>
      </c>
      <c r="AK272" s="2" t="s">
        <v>5</v>
      </c>
    </row>
    <row r="273" spans="2:37" ht="12.5">
      <c r="B273" s="2" t="str">
        <f ca="1">IFERROR(__xludf.DUMMYFUNCTION("""COMPUTED_VALUE"""),"聖隷クリストファー")</f>
        <v>聖隷クリストファー</v>
      </c>
      <c r="C273" s="2" t="e">
        <f ca="1"/>
        <v>#N/A</v>
      </c>
      <c r="D273" s="2" t="e">
        <f ca="1"/>
        <v>#REF!</v>
      </c>
      <c r="E273" s="29" t="e">
        <f ca="1"/>
        <v>#REF!</v>
      </c>
      <c r="F273" s="30" t="e">
        <f ca="1"/>
        <v>#REF!</v>
      </c>
      <c r="G273" s="29" t="e">
        <f ca="1"/>
        <v>#REF!</v>
      </c>
      <c r="H273" s="30" t="e">
        <f ca="1"/>
        <v>#REF!</v>
      </c>
      <c r="I273" s="29" t="e">
        <f ca="1"/>
        <v>#REF!</v>
      </c>
      <c r="J273" s="29" t="e">
        <f ca="1"/>
        <v>#REF!</v>
      </c>
      <c r="K273" s="29" t="e">
        <f ca="1"/>
        <v>#REF!</v>
      </c>
      <c r="L273" s="29" t="e">
        <f ca="1"/>
        <v>#REF!</v>
      </c>
      <c r="M273" s="29" t="e">
        <f ca="1"/>
        <v>#REF!</v>
      </c>
      <c r="N273" s="29" t="e">
        <f ca="1"/>
        <v>#REF!</v>
      </c>
      <c r="O273" s="2" t="e">
        <f ca="1"/>
        <v>#N/A</v>
      </c>
      <c r="P273" s="2" t="e">
        <f ca="1"/>
        <v>#N/A</v>
      </c>
      <c r="Q273" s="2" t="s">
        <v>5</v>
      </c>
      <c r="R273" s="2" t="s">
        <v>5</v>
      </c>
      <c r="U273" s="2"/>
      <c r="V273" s="2" t="s">
        <v>5</v>
      </c>
      <c r="W273" s="2" t="s">
        <v>5</v>
      </c>
      <c r="X273" s="29" t="s">
        <v>5</v>
      </c>
      <c r="Y273" s="30" t="s">
        <v>5</v>
      </c>
      <c r="Z273" s="29" t="s">
        <v>5</v>
      </c>
      <c r="AA273" s="30" t="s">
        <v>5</v>
      </c>
      <c r="AB273" s="29" t="s">
        <v>5</v>
      </c>
      <c r="AC273" s="29" t="s">
        <v>5</v>
      </c>
      <c r="AD273" s="29" t="s">
        <v>5</v>
      </c>
      <c r="AE273" s="29" t="s">
        <v>5</v>
      </c>
      <c r="AF273" s="29" t="s">
        <v>5</v>
      </c>
      <c r="AG273" s="29" t="s">
        <v>5</v>
      </c>
      <c r="AH273" s="2" t="s">
        <v>5</v>
      </c>
      <c r="AI273" s="2" t="s">
        <v>5</v>
      </c>
      <c r="AJ273" s="2" t="s">
        <v>5</v>
      </c>
      <c r="AK273" s="2" t="s">
        <v>5</v>
      </c>
    </row>
    <row r="274" spans="2:37" ht="12.5">
      <c r="B274" s="2" t="str">
        <f ca="1">IFERROR(__xludf.DUMMYFUNCTION("""COMPUTED_VALUE"""),"向陽高")</f>
        <v>向陽高</v>
      </c>
      <c r="C274" s="2" t="e">
        <f ca="1"/>
        <v>#N/A</v>
      </c>
      <c r="D274" s="2" t="e">
        <f ca="1"/>
        <v>#REF!</v>
      </c>
      <c r="E274" s="29" t="e">
        <f ca="1"/>
        <v>#REF!</v>
      </c>
      <c r="F274" s="30" t="e">
        <f ca="1"/>
        <v>#REF!</v>
      </c>
      <c r="G274" s="29" t="e">
        <f ca="1"/>
        <v>#REF!</v>
      </c>
      <c r="H274" s="30" t="e">
        <f ca="1"/>
        <v>#REF!</v>
      </c>
      <c r="I274" s="29" t="e">
        <f ca="1"/>
        <v>#REF!</v>
      </c>
      <c r="J274" s="29" t="e">
        <f ca="1"/>
        <v>#REF!</v>
      </c>
      <c r="K274" s="29" t="e">
        <f ca="1"/>
        <v>#REF!</v>
      </c>
      <c r="L274" s="29" t="e">
        <f ca="1"/>
        <v>#REF!</v>
      </c>
      <c r="M274" s="29" t="e">
        <f ca="1"/>
        <v>#REF!</v>
      </c>
      <c r="N274" s="29" t="e">
        <f ca="1"/>
        <v>#REF!</v>
      </c>
      <c r="O274" s="2" t="e">
        <f ca="1"/>
        <v>#N/A</v>
      </c>
      <c r="P274" s="2" t="e">
        <f ca="1"/>
        <v>#N/A</v>
      </c>
      <c r="Q274" s="2" t="s">
        <v>5</v>
      </c>
      <c r="R274" s="2" t="s">
        <v>5</v>
      </c>
      <c r="U274" s="2"/>
      <c r="V274" s="2" t="s">
        <v>5</v>
      </c>
      <c r="W274" s="2" t="s">
        <v>5</v>
      </c>
      <c r="X274" s="29" t="s">
        <v>5</v>
      </c>
      <c r="Y274" s="30" t="s">
        <v>5</v>
      </c>
      <c r="Z274" s="29" t="s">
        <v>5</v>
      </c>
      <c r="AA274" s="30" t="s">
        <v>5</v>
      </c>
      <c r="AB274" s="29" t="s">
        <v>5</v>
      </c>
      <c r="AC274" s="29" t="s">
        <v>5</v>
      </c>
      <c r="AD274" s="29" t="s">
        <v>5</v>
      </c>
      <c r="AE274" s="29" t="s">
        <v>5</v>
      </c>
      <c r="AF274" s="29" t="s">
        <v>5</v>
      </c>
      <c r="AG274" s="29" t="s">
        <v>5</v>
      </c>
      <c r="AH274" s="2" t="s">
        <v>5</v>
      </c>
      <c r="AI274" s="2" t="s">
        <v>5</v>
      </c>
      <c r="AJ274" s="2" t="s">
        <v>5</v>
      </c>
      <c r="AK274" s="2" t="s">
        <v>5</v>
      </c>
    </row>
    <row r="275" spans="2:37" ht="12.5">
      <c r="B275" s="2" t="str">
        <f ca="1">IFERROR(__xludf.DUMMYFUNCTION("""COMPUTED_VALUE"""),"東葛飾高")</f>
        <v>東葛飾高</v>
      </c>
      <c r="C275" s="2" t="e">
        <f ca="1"/>
        <v>#N/A</v>
      </c>
      <c r="D275" s="2" t="e">
        <f ca="1"/>
        <v>#REF!</v>
      </c>
      <c r="E275" s="29" t="e">
        <f ca="1"/>
        <v>#REF!</v>
      </c>
      <c r="F275" s="30" t="e">
        <f ca="1"/>
        <v>#REF!</v>
      </c>
      <c r="G275" s="29" t="e">
        <f ca="1"/>
        <v>#REF!</v>
      </c>
      <c r="H275" s="30" t="e">
        <f ca="1"/>
        <v>#REF!</v>
      </c>
      <c r="I275" s="29" t="e">
        <f ca="1"/>
        <v>#REF!</v>
      </c>
      <c r="J275" s="29" t="e">
        <f ca="1"/>
        <v>#REF!</v>
      </c>
      <c r="K275" s="29" t="e">
        <f ca="1"/>
        <v>#REF!</v>
      </c>
      <c r="L275" s="29" t="e">
        <f ca="1"/>
        <v>#REF!</v>
      </c>
      <c r="M275" s="29" t="e">
        <f ca="1"/>
        <v>#REF!</v>
      </c>
      <c r="N275" s="29" t="e">
        <f ca="1"/>
        <v>#REF!</v>
      </c>
      <c r="O275" s="2" t="e">
        <f ca="1"/>
        <v>#N/A</v>
      </c>
      <c r="P275" s="2" t="e">
        <f ca="1"/>
        <v>#N/A</v>
      </c>
      <c r="Q275" s="2" t="s">
        <v>5</v>
      </c>
      <c r="R275" s="2" t="s">
        <v>5</v>
      </c>
      <c r="U275" s="2"/>
      <c r="V275" s="2" t="s">
        <v>5</v>
      </c>
      <c r="W275" s="2" t="s">
        <v>5</v>
      </c>
      <c r="X275" s="29" t="s">
        <v>5</v>
      </c>
      <c r="Y275" s="30" t="s">
        <v>5</v>
      </c>
      <c r="Z275" s="29" t="s">
        <v>5</v>
      </c>
      <c r="AA275" s="30" t="s">
        <v>5</v>
      </c>
      <c r="AB275" s="29" t="s">
        <v>5</v>
      </c>
      <c r="AC275" s="29" t="s">
        <v>5</v>
      </c>
      <c r="AD275" s="29" t="s">
        <v>5</v>
      </c>
      <c r="AE275" s="29" t="s">
        <v>5</v>
      </c>
      <c r="AF275" s="29" t="s">
        <v>5</v>
      </c>
      <c r="AG275" s="29" t="s">
        <v>5</v>
      </c>
      <c r="AH275" s="2" t="s">
        <v>5</v>
      </c>
      <c r="AI275" s="2" t="s">
        <v>5</v>
      </c>
      <c r="AJ275" s="2" t="s">
        <v>5</v>
      </c>
      <c r="AK275" s="2" t="s">
        <v>5</v>
      </c>
    </row>
    <row r="276" spans="2:37" ht="12.5">
      <c r="B276" s="2" t="str">
        <f ca="1">IFERROR(__xludf.DUMMYFUNCTION("""COMPUTED_VALUE"""),"甲陵高")</f>
        <v>甲陵高</v>
      </c>
      <c r="C276" s="2" t="e">
        <f ca="1"/>
        <v>#N/A</v>
      </c>
      <c r="D276" s="2" t="e">
        <f ca="1"/>
        <v>#REF!</v>
      </c>
      <c r="E276" s="29" t="e">
        <f ca="1"/>
        <v>#REF!</v>
      </c>
      <c r="F276" s="30" t="e">
        <f ca="1"/>
        <v>#REF!</v>
      </c>
      <c r="G276" s="29" t="e">
        <f ca="1"/>
        <v>#REF!</v>
      </c>
      <c r="H276" s="30" t="e">
        <f ca="1"/>
        <v>#REF!</v>
      </c>
      <c r="I276" s="29" t="e">
        <f ca="1"/>
        <v>#REF!</v>
      </c>
      <c r="J276" s="29" t="e">
        <f ca="1"/>
        <v>#REF!</v>
      </c>
      <c r="K276" s="29" t="e">
        <f ca="1"/>
        <v>#REF!</v>
      </c>
      <c r="L276" s="29" t="e">
        <f ca="1"/>
        <v>#REF!</v>
      </c>
      <c r="M276" s="29" t="e">
        <f ca="1"/>
        <v>#REF!</v>
      </c>
      <c r="N276" s="29" t="e">
        <f ca="1"/>
        <v>#REF!</v>
      </c>
      <c r="O276" s="2" t="e">
        <f ca="1"/>
        <v>#N/A</v>
      </c>
      <c r="P276" s="2" t="e">
        <f ca="1"/>
        <v>#N/A</v>
      </c>
      <c r="Q276" s="2" t="s">
        <v>5</v>
      </c>
      <c r="R276" s="2" t="s">
        <v>5</v>
      </c>
      <c r="U276" s="2"/>
      <c r="V276" s="2" t="s">
        <v>5</v>
      </c>
      <c r="W276" s="2" t="s">
        <v>5</v>
      </c>
      <c r="X276" s="29" t="s">
        <v>5</v>
      </c>
      <c r="Y276" s="30" t="s">
        <v>5</v>
      </c>
      <c r="Z276" s="29" t="s">
        <v>5</v>
      </c>
      <c r="AA276" s="30" t="s">
        <v>5</v>
      </c>
      <c r="AB276" s="29" t="s">
        <v>5</v>
      </c>
      <c r="AC276" s="29" t="s">
        <v>5</v>
      </c>
      <c r="AD276" s="29" t="s">
        <v>5</v>
      </c>
      <c r="AE276" s="29" t="s">
        <v>5</v>
      </c>
      <c r="AF276" s="29" t="s">
        <v>5</v>
      </c>
      <c r="AG276" s="29" t="s">
        <v>5</v>
      </c>
      <c r="AH276" s="2" t="s">
        <v>5</v>
      </c>
      <c r="AI276" s="2" t="s">
        <v>5</v>
      </c>
      <c r="AJ276" s="2" t="s">
        <v>5</v>
      </c>
      <c r="AK276" s="2" t="s">
        <v>5</v>
      </c>
    </row>
    <row r="277" spans="2:37" ht="12.5">
      <c r="B277" s="2" t="str">
        <f ca="1">IFERROR(__xludf.DUMMYFUNCTION("""COMPUTED_VALUE"""),"暁高")</f>
        <v>暁高</v>
      </c>
      <c r="C277" s="2" t="e">
        <f ca="1"/>
        <v>#N/A</v>
      </c>
      <c r="D277" s="2" t="e">
        <f ca="1"/>
        <v>#REF!</v>
      </c>
      <c r="E277" s="29" t="e">
        <f ca="1"/>
        <v>#REF!</v>
      </c>
      <c r="F277" s="30" t="e">
        <f ca="1"/>
        <v>#REF!</v>
      </c>
      <c r="G277" s="29" t="e">
        <f ca="1"/>
        <v>#REF!</v>
      </c>
      <c r="H277" s="30" t="e">
        <f ca="1"/>
        <v>#REF!</v>
      </c>
      <c r="I277" s="29" t="e">
        <f ca="1"/>
        <v>#REF!</v>
      </c>
      <c r="J277" s="29" t="e">
        <f ca="1"/>
        <v>#REF!</v>
      </c>
      <c r="K277" s="29" t="e">
        <f ca="1"/>
        <v>#REF!</v>
      </c>
      <c r="L277" s="29" t="e">
        <f ca="1"/>
        <v>#REF!</v>
      </c>
      <c r="M277" s="29" t="e">
        <f ca="1"/>
        <v>#REF!</v>
      </c>
      <c r="N277" s="29" t="e">
        <f ca="1"/>
        <v>#REF!</v>
      </c>
      <c r="O277" s="2" t="e">
        <f ca="1"/>
        <v>#N/A</v>
      </c>
      <c r="P277" s="2" t="e">
        <f ca="1"/>
        <v>#N/A</v>
      </c>
      <c r="Q277" s="2" t="s">
        <v>5</v>
      </c>
      <c r="R277" s="2" t="s">
        <v>5</v>
      </c>
      <c r="U277" s="2"/>
      <c r="V277" s="2" t="s">
        <v>5</v>
      </c>
      <c r="W277" s="2" t="s">
        <v>5</v>
      </c>
      <c r="X277" s="29" t="s">
        <v>5</v>
      </c>
      <c r="Y277" s="30" t="s">
        <v>5</v>
      </c>
      <c r="Z277" s="29" t="s">
        <v>5</v>
      </c>
      <c r="AA277" s="30" t="s">
        <v>5</v>
      </c>
      <c r="AB277" s="29" t="s">
        <v>5</v>
      </c>
      <c r="AC277" s="29" t="s">
        <v>5</v>
      </c>
      <c r="AD277" s="29" t="s">
        <v>5</v>
      </c>
      <c r="AE277" s="29" t="s">
        <v>5</v>
      </c>
      <c r="AF277" s="29" t="s">
        <v>5</v>
      </c>
      <c r="AG277" s="29" t="s">
        <v>5</v>
      </c>
      <c r="AH277" s="2" t="s">
        <v>5</v>
      </c>
      <c r="AI277" s="2" t="s">
        <v>5</v>
      </c>
      <c r="AJ277" s="2" t="s">
        <v>5</v>
      </c>
      <c r="AK277" s="2" t="s">
        <v>5</v>
      </c>
    </row>
    <row r="278" spans="2:37" ht="12.5">
      <c r="B278" s="2" t="str">
        <f ca="1">IFERROR(__xludf.DUMMYFUNCTION("""COMPUTED_VALUE"""),"星林高")</f>
        <v>星林高</v>
      </c>
      <c r="C278" s="2" t="e">
        <f ca="1"/>
        <v>#N/A</v>
      </c>
      <c r="D278" s="2" t="e">
        <f ca="1"/>
        <v>#REF!</v>
      </c>
      <c r="E278" s="29" t="e">
        <f ca="1"/>
        <v>#REF!</v>
      </c>
      <c r="F278" s="30" t="e">
        <f ca="1"/>
        <v>#REF!</v>
      </c>
      <c r="G278" s="29" t="e">
        <f ca="1"/>
        <v>#REF!</v>
      </c>
      <c r="H278" s="30" t="e">
        <f ca="1"/>
        <v>#REF!</v>
      </c>
      <c r="I278" s="29" t="e">
        <f ca="1"/>
        <v>#REF!</v>
      </c>
      <c r="J278" s="29" t="e">
        <f ca="1"/>
        <v>#REF!</v>
      </c>
      <c r="K278" s="29" t="e">
        <f ca="1"/>
        <v>#REF!</v>
      </c>
      <c r="L278" s="29" t="e">
        <f ca="1"/>
        <v>#REF!</v>
      </c>
      <c r="M278" s="29" t="e">
        <f ca="1"/>
        <v>#REF!</v>
      </c>
      <c r="N278" s="29" t="e">
        <f ca="1"/>
        <v>#REF!</v>
      </c>
      <c r="O278" s="2" t="e">
        <f ca="1"/>
        <v>#N/A</v>
      </c>
      <c r="P278" s="2" t="e">
        <f ca="1"/>
        <v>#N/A</v>
      </c>
      <c r="Q278" s="2" t="s">
        <v>5</v>
      </c>
      <c r="R278" s="2" t="s">
        <v>5</v>
      </c>
      <c r="U278" s="2"/>
      <c r="V278" s="2" t="s">
        <v>5</v>
      </c>
      <c r="W278" s="2" t="s">
        <v>5</v>
      </c>
      <c r="X278" s="29" t="s">
        <v>5</v>
      </c>
      <c r="Y278" s="30" t="s">
        <v>5</v>
      </c>
      <c r="Z278" s="29" t="s">
        <v>5</v>
      </c>
      <c r="AA278" s="30" t="s">
        <v>5</v>
      </c>
      <c r="AB278" s="29" t="s">
        <v>5</v>
      </c>
      <c r="AC278" s="29" t="s">
        <v>5</v>
      </c>
      <c r="AD278" s="29" t="s">
        <v>5</v>
      </c>
      <c r="AE278" s="29" t="s">
        <v>5</v>
      </c>
      <c r="AF278" s="29" t="s">
        <v>5</v>
      </c>
      <c r="AG278" s="29" t="s">
        <v>5</v>
      </c>
      <c r="AH278" s="2" t="s">
        <v>5</v>
      </c>
      <c r="AI278" s="2" t="s">
        <v>5</v>
      </c>
      <c r="AJ278" s="2" t="s">
        <v>5</v>
      </c>
      <c r="AK278" s="2" t="s">
        <v>5</v>
      </c>
    </row>
    <row r="279" spans="2:37" ht="12.5">
      <c r="B279" s="2" t="str">
        <f ca="1">IFERROR(__xludf.DUMMYFUNCTION("""COMPUTED_VALUE"""),"人吉高")</f>
        <v>人吉高</v>
      </c>
      <c r="C279" s="2" t="e">
        <f ca="1"/>
        <v>#N/A</v>
      </c>
      <c r="D279" s="2" t="e">
        <f ca="1"/>
        <v>#REF!</v>
      </c>
      <c r="E279" s="29" t="e">
        <f ca="1"/>
        <v>#REF!</v>
      </c>
      <c r="F279" s="30" t="e">
        <f ca="1"/>
        <v>#REF!</v>
      </c>
      <c r="G279" s="29" t="e">
        <f ca="1"/>
        <v>#REF!</v>
      </c>
      <c r="H279" s="30" t="e">
        <f ca="1"/>
        <v>#REF!</v>
      </c>
      <c r="I279" s="29" t="e">
        <f ca="1"/>
        <v>#REF!</v>
      </c>
      <c r="J279" s="29" t="e">
        <f ca="1"/>
        <v>#REF!</v>
      </c>
      <c r="K279" s="29" t="e">
        <f ca="1"/>
        <v>#REF!</v>
      </c>
      <c r="L279" s="29" t="e">
        <f ca="1"/>
        <v>#REF!</v>
      </c>
      <c r="M279" s="29" t="e">
        <f ca="1"/>
        <v>#REF!</v>
      </c>
      <c r="N279" s="29" t="e">
        <f ca="1"/>
        <v>#REF!</v>
      </c>
      <c r="O279" s="2" t="e">
        <f ca="1"/>
        <v>#N/A</v>
      </c>
      <c r="P279" s="2" t="e">
        <f ca="1"/>
        <v>#N/A</v>
      </c>
      <c r="Q279" s="2" t="s">
        <v>5</v>
      </c>
      <c r="R279" s="2" t="s">
        <v>5</v>
      </c>
      <c r="U279" s="2"/>
      <c r="V279" s="2" t="s">
        <v>5</v>
      </c>
      <c r="W279" s="2" t="s">
        <v>5</v>
      </c>
      <c r="X279" s="29" t="s">
        <v>5</v>
      </c>
      <c r="Y279" s="30" t="s">
        <v>5</v>
      </c>
      <c r="Z279" s="29" t="s">
        <v>5</v>
      </c>
      <c r="AA279" s="30" t="s">
        <v>5</v>
      </c>
      <c r="AB279" s="29" t="s">
        <v>5</v>
      </c>
      <c r="AC279" s="29" t="s">
        <v>5</v>
      </c>
      <c r="AD279" s="29" t="s">
        <v>5</v>
      </c>
      <c r="AE279" s="29" t="s">
        <v>5</v>
      </c>
      <c r="AF279" s="29" t="s">
        <v>5</v>
      </c>
      <c r="AG279" s="29" t="s">
        <v>5</v>
      </c>
      <c r="AH279" s="2" t="s">
        <v>5</v>
      </c>
      <c r="AI279" s="2" t="s">
        <v>5</v>
      </c>
      <c r="AJ279" s="2" t="s">
        <v>5</v>
      </c>
      <c r="AK279" s="2" t="s">
        <v>5</v>
      </c>
    </row>
    <row r="280" spans="2:37" ht="12.5">
      <c r="B280" s="2" t="str">
        <f ca="1">IFERROR(__xludf.DUMMYFUNCTION("""COMPUTED_VALUE"""),"札幌東高")</f>
        <v>札幌東高</v>
      </c>
      <c r="C280" s="2" t="e">
        <f ca="1"/>
        <v>#N/A</v>
      </c>
      <c r="D280" s="2" t="e">
        <f ca="1"/>
        <v>#REF!</v>
      </c>
      <c r="E280" s="29" t="e">
        <f ca="1"/>
        <v>#REF!</v>
      </c>
      <c r="F280" s="30" t="e">
        <f ca="1"/>
        <v>#REF!</v>
      </c>
      <c r="G280" s="29" t="e">
        <f ca="1"/>
        <v>#REF!</v>
      </c>
      <c r="H280" s="30" t="e">
        <f ca="1"/>
        <v>#REF!</v>
      </c>
      <c r="I280" s="29" t="e">
        <f ca="1"/>
        <v>#REF!</v>
      </c>
      <c r="J280" s="29" t="e">
        <f ca="1"/>
        <v>#REF!</v>
      </c>
      <c r="K280" s="29" t="e">
        <f ca="1"/>
        <v>#REF!</v>
      </c>
      <c r="L280" s="29" t="e">
        <f ca="1"/>
        <v>#REF!</v>
      </c>
      <c r="M280" s="29" t="e">
        <f ca="1"/>
        <v>#REF!</v>
      </c>
      <c r="N280" s="29" t="e">
        <f ca="1"/>
        <v>#REF!</v>
      </c>
      <c r="O280" s="2" t="e">
        <f ca="1"/>
        <v>#N/A</v>
      </c>
      <c r="P280" s="2" t="e">
        <f ca="1"/>
        <v>#N/A</v>
      </c>
      <c r="Q280" s="2" t="s">
        <v>5</v>
      </c>
      <c r="R280" s="2" t="s">
        <v>5</v>
      </c>
      <c r="U280" s="2"/>
      <c r="V280" s="2" t="s">
        <v>5</v>
      </c>
      <c r="W280" s="2" t="s">
        <v>5</v>
      </c>
      <c r="X280" s="29" t="s">
        <v>5</v>
      </c>
      <c r="Y280" s="30" t="s">
        <v>5</v>
      </c>
      <c r="Z280" s="29" t="s">
        <v>5</v>
      </c>
      <c r="AA280" s="30" t="s">
        <v>5</v>
      </c>
      <c r="AB280" s="29" t="s">
        <v>5</v>
      </c>
      <c r="AC280" s="29" t="s">
        <v>5</v>
      </c>
      <c r="AD280" s="29" t="s">
        <v>5</v>
      </c>
      <c r="AE280" s="29" t="s">
        <v>5</v>
      </c>
      <c r="AF280" s="29" t="s">
        <v>5</v>
      </c>
      <c r="AG280" s="29" t="s">
        <v>5</v>
      </c>
      <c r="AH280" s="2" t="s">
        <v>5</v>
      </c>
      <c r="AI280" s="2" t="s">
        <v>5</v>
      </c>
      <c r="AJ280" s="2" t="s">
        <v>5</v>
      </c>
      <c r="AK280" s="2" t="s">
        <v>5</v>
      </c>
    </row>
    <row r="281" spans="2:37" ht="12.5">
      <c r="B281" s="2" t="str">
        <f ca="1">IFERROR(__xludf.DUMMYFUNCTION("""COMPUTED_VALUE"""),"西遠女子学園")</f>
        <v>西遠女子学園</v>
      </c>
      <c r="C281" s="2" t="e">
        <f ca="1"/>
        <v>#N/A</v>
      </c>
      <c r="D281" s="2" t="e">
        <f ca="1"/>
        <v>#REF!</v>
      </c>
      <c r="E281" s="29" t="e">
        <f ca="1"/>
        <v>#REF!</v>
      </c>
      <c r="F281" s="30" t="e">
        <f ca="1"/>
        <v>#REF!</v>
      </c>
      <c r="G281" s="29" t="e">
        <f ca="1"/>
        <v>#REF!</v>
      </c>
      <c r="H281" s="30" t="e">
        <f ca="1"/>
        <v>#REF!</v>
      </c>
      <c r="I281" s="29" t="e">
        <f ca="1"/>
        <v>#REF!</v>
      </c>
      <c r="J281" s="29" t="e">
        <f ca="1"/>
        <v>#REF!</v>
      </c>
      <c r="K281" s="29" t="e">
        <f ca="1"/>
        <v>#REF!</v>
      </c>
      <c r="L281" s="29" t="e">
        <f ca="1"/>
        <v>#REF!</v>
      </c>
      <c r="M281" s="29" t="e">
        <f ca="1"/>
        <v>#REF!</v>
      </c>
      <c r="N281" s="29" t="e">
        <f ca="1"/>
        <v>#REF!</v>
      </c>
      <c r="O281" s="2" t="e">
        <f ca="1"/>
        <v>#N/A</v>
      </c>
      <c r="P281" s="2" t="e">
        <f ca="1"/>
        <v>#N/A</v>
      </c>
      <c r="Q281" s="2" t="s">
        <v>5</v>
      </c>
      <c r="R281" s="2" t="s">
        <v>5</v>
      </c>
      <c r="U281" s="2"/>
      <c r="V281" s="2" t="s">
        <v>5</v>
      </c>
      <c r="W281" s="2" t="s">
        <v>5</v>
      </c>
      <c r="X281" s="29" t="s">
        <v>5</v>
      </c>
      <c r="Y281" s="30" t="s">
        <v>5</v>
      </c>
      <c r="Z281" s="29" t="s">
        <v>5</v>
      </c>
      <c r="AA281" s="30" t="s">
        <v>5</v>
      </c>
      <c r="AB281" s="29" t="s">
        <v>5</v>
      </c>
      <c r="AC281" s="29" t="s">
        <v>5</v>
      </c>
      <c r="AD281" s="29" t="s">
        <v>5</v>
      </c>
      <c r="AE281" s="29" t="s">
        <v>5</v>
      </c>
      <c r="AF281" s="29" t="s">
        <v>5</v>
      </c>
      <c r="AG281" s="29" t="s">
        <v>5</v>
      </c>
      <c r="AH281" s="2" t="s">
        <v>5</v>
      </c>
      <c r="AI281" s="2" t="s">
        <v>5</v>
      </c>
      <c r="AJ281" s="2" t="s">
        <v>5</v>
      </c>
      <c r="AK281" s="2" t="s">
        <v>5</v>
      </c>
    </row>
    <row r="282" spans="2:37" ht="12.5">
      <c r="B282" s="2" t="str">
        <f ca="1">IFERROR(__xludf.DUMMYFUNCTION("""COMPUTED_VALUE"""),"東海大静岡翔洋高")</f>
        <v>東海大静岡翔洋高</v>
      </c>
      <c r="C282" s="2" t="e">
        <f ca="1"/>
        <v>#N/A</v>
      </c>
      <c r="D282" s="2" t="e">
        <f ca="1"/>
        <v>#REF!</v>
      </c>
      <c r="E282" s="29" t="e">
        <f ca="1"/>
        <v>#REF!</v>
      </c>
      <c r="F282" s="30" t="e">
        <f ca="1"/>
        <v>#REF!</v>
      </c>
      <c r="G282" s="29" t="e">
        <f ca="1"/>
        <v>#REF!</v>
      </c>
      <c r="H282" s="30" t="e">
        <f ca="1"/>
        <v>#REF!</v>
      </c>
      <c r="I282" s="29" t="e">
        <f ca="1"/>
        <v>#REF!</v>
      </c>
      <c r="J282" s="29" t="e">
        <f ca="1"/>
        <v>#REF!</v>
      </c>
      <c r="K282" s="29" t="e">
        <f ca="1"/>
        <v>#REF!</v>
      </c>
      <c r="L282" s="29" t="e">
        <f ca="1"/>
        <v>#REF!</v>
      </c>
      <c r="M282" s="29" t="e">
        <f ca="1"/>
        <v>#REF!</v>
      </c>
      <c r="N282" s="29" t="e">
        <f ca="1"/>
        <v>#REF!</v>
      </c>
      <c r="O282" s="2" t="e">
        <f ca="1"/>
        <v>#N/A</v>
      </c>
      <c r="P282" s="2" t="e">
        <f ca="1"/>
        <v>#N/A</v>
      </c>
      <c r="Q282" s="2" t="s">
        <v>5</v>
      </c>
      <c r="R282" s="2" t="s">
        <v>5</v>
      </c>
      <c r="U282" s="2"/>
      <c r="V282" s="2" t="s">
        <v>5</v>
      </c>
      <c r="W282" s="2" t="s">
        <v>5</v>
      </c>
      <c r="X282" s="29" t="s">
        <v>5</v>
      </c>
      <c r="Y282" s="30" t="s">
        <v>5</v>
      </c>
      <c r="Z282" s="29" t="s">
        <v>5</v>
      </c>
      <c r="AA282" s="30" t="s">
        <v>5</v>
      </c>
      <c r="AB282" s="29" t="s">
        <v>5</v>
      </c>
      <c r="AC282" s="29" t="s">
        <v>5</v>
      </c>
      <c r="AD282" s="29" t="s">
        <v>5</v>
      </c>
      <c r="AE282" s="29" t="s">
        <v>5</v>
      </c>
      <c r="AF282" s="29" t="s">
        <v>5</v>
      </c>
      <c r="AG282" s="29" t="s">
        <v>5</v>
      </c>
      <c r="AH282" s="2" t="s">
        <v>5</v>
      </c>
      <c r="AI282" s="2" t="s">
        <v>5</v>
      </c>
      <c r="AJ282" s="2" t="s">
        <v>5</v>
      </c>
      <c r="AK282" s="2" t="s">
        <v>5</v>
      </c>
    </row>
    <row r="283" spans="2:37" ht="12.5">
      <c r="B283" s="2" t="str">
        <f ca="1">IFERROR(__xludf.DUMMYFUNCTION("""COMPUTED_VALUE"""),"白陵高")</f>
        <v>白陵高</v>
      </c>
      <c r="C283" s="2" t="e">
        <f ca="1"/>
        <v>#N/A</v>
      </c>
      <c r="D283" s="2" t="e">
        <f ca="1"/>
        <v>#REF!</v>
      </c>
      <c r="E283" s="29" t="e">
        <f ca="1"/>
        <v>#REF!</v>
      </c>
      <c r="F283" s="30" t="e">
        <f ca="1"/>
        <v>#REF!</v>
      </c>
      <c r="G283" s="29" t="e">
        <f ca="1"/>
        <v>#REF!</v>
      </c>
      <c r="H283" s="30" t="e">
        <f ca="1"/>
        <v>#REF!</v>
      </c>
      <c r="I283" s="29" t="e">
        <f ca="1"/>
        <v>#REF!</v>
      </c>
      <c r="J283" s="29" t="e">
        <f ca="1"/>
        <v>#REF!</v>
      </c>
      <c r="K283" s="29" t="e">
        <f ca="1"/>
        <v>#REF!</v>
      </c>
      <c r="L283" s="29" t="e">
        <f ca="1"/>
        <v>#REF!</v>
      </c>
      <c r="M283" s="29" t="e">
        <f ca="1"/>
        <v>#REF!</v>
      </c>
      <c r="N283" s="29" t="e">
        <f ca="1"/>
        <v>#REF!</v>
      </c>
      <c r="O283" s="2" t="e">
        <f ca="1"/>
        <v>#N/A</v>
      </c>
      <c r="P283" s="2" t="e">
        <f ca="1"/>
        <v>#N/A</v>
      </c>
      <c r="Q283" s="2" t="s">
        <v>5</v>
      </c>
      <c r="R283" s="2" t="s">
        <v>5</v>
      </c>
      <c r="U283" s="2"/>
      <c r="V283" s="2" t="s">
        <v>5</v>
      </c>
      <c r="W283" s="2" t="s">
        <v>5</v>
      </c>
      <c r="X283" s="29" t="s">
        <v>5</v>
      </c>
      <c r="Y283" s="30" t="s">
        <v>5</v>
      </c>
      <c r="Z283" s="29" t="s">
        <v>5</v>
      </c>
      <c r="AA283" s="30" t="s">
        <v>5</v>
      </c>
      <c r="AB283" s="29" t="s">
        <v>5</v>
      </c>
      <c r="AC283" s="29" t="s">
        <v>5</v>
      </c>
      <c r="AD283" s="29" t="s">
        <v>5</v>
      </c>
      <c r="AE283" s="29" t="s">
        <v>5</v>
      </c>
      <c r="AF283" s="29" t="s">
        <v>5</v>
      </c>
      <c r="AG283" s="29" t="s">
        <v>5</v>
      </c>
      <c r="AH283" s="2" t="s">
        <v>5</v>
      </c>
      <c r="AI283" s="2" t="s">
        <v>5</v>
      </c>
      <c r="AJ283" s="2" t="s">
        <v>5</v>
      </c>
      <c r="AK283" s="2" t="s">
        <v>5</v>
      </c>
    </row>
    <row r="284" spans="2:37" ht="12.5">
      <c r="B284" s="2" t="str">
        <f ca="1">IFERROR(__xludf.DUMMYFUNCTION("""COMPUTED_VALUE"""),"神村学園高等部")</f>
        <v>神村学園高等部</v>
      </c>
      <c r="C284" s="2" t="e">
        <f ca="1"/>
        <v>#N/A</v>
      </c>
      <c r="D284" s="2" t="e">
        <f ca="1"/>
        <v>#REF!</v>
      </c>
      <c r="E284" s="29" t="e">
        <f ca="1"/>
        <v>#REF!</v>
      </c>
      <c r="F284" s="30" t="e">
        <f ca="1"/>
        <v>#REF!</v>
      </c>
      <c r="G284" s="29" t="e">
        <f ca="1"/>
        <v>#REF!</v>
      </c>
      <c r="H284" s="30" t="e">
        <f ca="1"/>
        <v>#REF!</v>
      </c>
      <c r="I284" s="29" t="e">
        <f ca="1"/>
        <v>#REF!</v>
      </c>
      <c r="J284" s="29" t="e">
        <f ca="1"/>
        <v>#REF!</v>
      </c>
      <c r="K284" s="29" t="e">
        <f ca="1"/>
        <v>#REF!</v>
      </c>
      <c r="L284" s="29" t="e">
        <f ca="1"/>
        <v>#REF!</v>
      </c>
      <c r="M284" s="29" t="e">
        <f ca="1"/>
        <v>#REF!</v>
      </c>
      <c r="N284" s="29" t="e">
        <f ca="1"/>
        <v>#REF!</v>
      </c>
      <c r="O284" s="2" t="e">
        <f ca="1"/>
        <v>#N/A</v>
      </c>
      <c r="P284" s="2" t="e">
        <f ca="1"/>
        <v>#N/A</v>
      </c>
      <c r="Q284" s="2" t="s">
        <v>5</v>
      </c>
      <c r="R284" s="2" t="s">
        <v>5</v>
      </c>
      <c r="U284" s="2"/>
      <c r="V284" s="2" t="s">
        <v>5</v>
      </c>
      <c r="W284" s="2" t="s">
        <v>5</v>
      </c>
      <c r="X284" s="29" t="s">
        <v>5</v>
      </c>
      <c r="Y284" s="30" t="s">
        <v>5</v>
      </c>
      <c r="Z284" s="29" t="s">
        <v>5</v>
      </c>
      <c r="AA284" s="30" t="s">
        <v>5</v>
      </c>
      <c r="AB284" s="29" t="s">
        <v>5</v>
      </c>
      <c r="AC284" s="29" t="s">
        <v>5</v>
      </c>
      <c r="AD284" s="29" t="s">
        <v>5</v>
      </c>
      <c r="AE284" s="29" t="s">
        <v>5</v>
      </c>
      <c r="AF284" s="29" t="s">
        <v>5</v>
      </c>
      <c r="AG284" s="29" t="s">
        <v>5</v>
      </c>
      <c r="AH284" s="2" t="s">
        <v>5</v>
      </c>
      <c r="AI284" s="2" t="s">
        <v>5</v>
      </c>
      <c r="AJ284" s="2" t="s">
        <v>5</v>
      </c>
      <c r="AK284" s="2" t="s">
        <v>5</v>
      </c>
    </row>
    <row r="285" spans="2:37" ht="12.5">
      <c r="B285" s="2" t="str">
        <f ca="1">IFERROR(__xludf.DUMMYFUNCTION("""COMPUTED_VALUE"""),"大分上野丘高")</f>
        <v>大分上野丘高</v>
      </c>
      <c r="C285" s="2" t="e">
        <f ca="1"/>
        <v>#N/A</v>
      </c>
      <c r="D285" s="2" t="e">
        <f ca="1"/>
        <v>#REF!</v>
      </c>
      <c r="E285" s="29" t="e">
        <f ca="1"/>
        <v>#REF!</v>
      </c>
      <c r="F285" s="30" t="e">
        <f ca="1"/>
        <v>#REF!</v>
      </c>
      <c r="G285" s="29" t="e">
        <f ca="1"/>
        <v>#REF!</v>
      </c>
      <c r="H285" s="30" t="e">
        <f ca="1"/>
        <v>#REF!</v>
      </c>
      <c r="I285" s="29" t="e">
        <f ca="1"/>
        <v>#REF!</v>
      </c>
      <c r="J285" s="29" t="e">
        <f ca="1"/>
        <v>#REF!</v>
      </c>
      <c r="K285" s="29" t="e">
        <f ca="1"/>
        <v>#REF!</v>
      </c>
      <c r="L285" s="29" t="e">
        <f ca="1"/>
        <v>#REF!</v>
      </c>
      <c r="M285" s="29" t="e">
        <f ca="1"/>
        <v>#REF!</v>
      </c>
      <c r="N285" s="29" t="e">
        <f ca="1"/>
        <v>#REF!</v>
      </c>
      <c r="O285" s="2" t="e">
        <f ca="1"/>
        <v>#N/A</v>
      </c>
      <c r="P285" s="2" t="e">
        <f ca="1"/>
        <v>#N/A</v>
      </c>
      <c r="Q285" s="2" t="s">
        <v>5</v>
      </c>
      <c r="R285" s="2" t="s">
        <v>5</v>
      </c>
      <c r="U285" s="2"/>
      <c r="V285" s="2" t="s">
        <v>5</v>
      </c>
      <c r="W285" s="2" t="s">
        <v>5</v>
      </c>
      <c r="X285" s="29" t="s">
        <v>5</v>
      </c>
      <c r="Y285" s="30" t="s">
        <v>5</v>
      </c>
      <c r="Z285" s="29" t="s">
        <v>5</v>
      </c>
      <c r="AA285" s="30" t="s">
        <v>5</v>
      </c>
      <c r="AB285" s="29" t="s">
        <v>5</v>
      </c>
      <c r="AC285" s="29" t="s">
        <v>5</v>
      </c>
      <c r="AD285" s="29" t="s">
        <v>5</v>
      </c>
      <c r="AE285" s="29" t="s">
        <v>5</v>
      </c>
      <c r="AF285" s="29" t="s">
        <v>5</v>
      </c>
      <c r="AG285" s="29" t="s">
        <v>5</v>
      </c>
      <c r="AH285" s="2" t="s">
        <v>5</v>
      </c>
      <c r="AI285" s="2" t="s">
        <v>5</v>
      </c>
      <c r="AJ285" s="2" t="s">
        <v>5</v>
      </c>
      <c r="AK285" s="2" t="s">
        <v>5</v>
      </c>
    </row>
    <row r="286" spans="2:37" ht="12.5">
      <c r="B286" s="2" t="str">
        <f ca="1">IFERROR(__xludf.DUMMYFUNCTION("""COMPUTED_VALUE"""),"吉祥女子高")</f>
        <v>吉祥女子高</v>
      </c>
      <c r="C286" s="2" t="e">
        <f ca="1"/>
        <v>#N/A</v>
      </c>
      <c r="D286" s="2" t="e">
        <f ca="1"/>
        <v>#REF!</v>
      </c>
      <c r="E286" s="29" t="e">
        <f ca="1"/>
        <v>#REF!</v>
      </c>
      <c r="F286" s="30" t="e">
        <f ca="1"/>
        <v>#REF!</v>
      </c>
      <c r="G286" s="29" t="e">
        <f ca="1"/>
        <v>#REF!</v>
      </c>
      <c r="H286" s="30" t="e">
        <f ca="1"/>
        <v>#REF!</v>
      </c>
      <c r="I286" s="29" t="e">
        <f ca="1"/>
        <v>#REF!</v>
      </c>
      <c r="J286" s="29" t="e">
        <f ca="1"/>
        <v>#REF!</v>
      </c>
      <c r="K286" s="29" t="e">
        <f ca="1"/>
        <v>#REF!</v>
      </c>
      <c r="L286" s="29" t="e">
        <f ca="1"/>
        <v>#REF!</v>
      </c>
      <c r="M286" s="29" t="e">
        <f ca="1"/>
        <v>#REF!</v>
      </c>
      <c r="N286" s="29" t="e">
        <f ca="1"/>
        <v>#REF!</v>
      </c>
      <c r="O286" s="2" t="e">
        <f ca="1"/>
        <v>#N/A</v>
      </c>
      <c r="P286" s="2" t="e">
        <f ca="1"/>
        <v>#N/A</v>
      </c>
      <c r="Q286" s="2" t="s">
        <v>5</v>
      </c>
      <c r="R286" s="2" t="s">
        <v>5</v>
      </c>
      <c r="U286" s="2"/>
      <c r="V286" s="2" t="s">
        <v>5</v>
      </c>
      <c r="W286" s="2" t="s">
        <v>5</v>
      </c>
      <c r="X286" s="29" t="s">
        <v>5</v>
      </c>
      <c r="Y286" s="30" t="s">
        <v>5</v>
      </c>
      <c r="Z286" s="29" t="s">
        <v>5</v>
      </c>
      <c r="AA286" s="30" t="s">
        <v>5</v>
      </c>
      <c r="AB286" s="29" t="s">
        <v>5</v>
      </c>
      <c r="AC286" s="29" t="s">
        <v>5</v>
      </c>
      <c r="AD286" s="29" t="s">
        <v>5</v>
      </c>
      <c r="AE286" s="29" t="s">
        <v>5</v>
      </c>
      <c r="AF286" s="29" t="s">
        <v>5</v>
      </c>
      <c r="AG286" s="29" t="s">
        <v>5</v>
      </c>
      <c r="AH286" s="2" t="s">
        <v>5</v>
      </c>
      <c r="AI286" s="2" t="s">
        <v>5</v>
      </c>
      <c r="AJ286" s="2" t="s">
        <v>5</v>
      </c>
      <c r="AK286" s="2" t="s">
        <v>5</v>
      </c>
    </row>
    <row r="287" spans="2:37" ht="12.5">
      <c r="B287" s="2" t="str">
        <f ca="1">IFERROR(__xludf.DUMMYFUNCTION("""COMPUTED_VALUE"""),"磐田東高")</f>
        <v>磐田東高</v>
      </c>
      <c r="C287" s="2" t="e">
        <f ca="1"/>
        <v>#N/A</v>
      </c>
      <c r="D287" s="2" t="e">
        <f ca="1"/>
        <v>#REF!</v>
      </c>
      <c r="E287" s="29" t="e">
        <f ca="1"/>
        <v>#REF!</v>
      </c>
      <c r="F287" s="30" t="e">
        <f ca="1"/>
        <v>#REF!</v>
      </c>
      <c r="G287" s="29" t="e">
        <f ca="1"/>
        <v>#REF!</v>
      </c>
      <c r="H287" s="30" t="e">
        <f ca="1"/>
        <v>#REF!</v>
      </c>
      <c r="I287" s="29" t="e">
        <f ca="1"/>
        <v>#REF!</v>
      </c>
      <c r="J287" s="29" t="e">
        <f ca="1"/>
        <v>#REF!</v>
      </c>
      <c r="K287" s="29" t="e">
        <f ca="1"/>
        <v>#REF!</v>
      </c>
      <c r="L287" s="29" t="e">
        <f ca="1"/>
        <v>#REF!</v>
      </c>
      <c r="M287" s="29" t="e">
        <f ca="1"/>
        <v>#REF!</v>
      </c>
      <c r="N287" s="29" t="e">
        <f ca="1"/>
        <v>#REF!</v>
      </c>
      <c r="O287" s="2" t="e">
        <f ca="1"/>
        <v>#N/A</v>
      </c>
      <c r="P287" s="2" t="e">
        <f ca="1"/>
        <v>#N/A</v>
      </c>
      <c r="Q287" s="2" t="s">
        <v>5</v>
      </c>
      <c r="R287" s="2" t="s">
        <v>5</v>
      </c>
      <c r="U287" s="2"/>
      <c r="V287" s="2" t="s">
        <v>5</v>
      </c>
      <c r="W287" s="2" t="s">
        <v>5</v>
      </c>
      <c r="X287" s="29" t="s">
        <v>5</v>
      </c>
      <c r="Y287" s="30" t="s">
        <v>5</v>
      </c>
      <c r="Z287" s="29" t="s">
        <v>5</v>
      </c>
      <c r="AA287" s="30" t="s">
        <v>5</v>
      </c>
      <c r="AB287" s="29" t="s">
        <v>5</v>
      </c>
      <c r="AC287" s="29" t="s">
        <v>5</v>
      </c>
      <c r="AD287" s="29" t="s">
        <v>5</v>
      </c>
      <c r="AE287" s="29" t="s">
        <v>5</v>
      </c>
      <c r="AF287" s="29" t="s">
        <v>5</v>
      </c>
      <c r="AG287" s="29" t="s">
        <v>5</v>
      </c>
      <c r="AH287" s="2" t="s">
        <v>5</v>
      </c>
      <c r="AI287" s="2" t="s">
        <v>5</v>
      </c>
      <c r="AJ287" s="2" t="s">
        <v>5</v>
      </c>
      <c r="AK287" s="2" t="s">
        <v>5</v>
      </c>
    </row>
    <row r="288" spans="2:37" ht="12.5">
      <c r="B288" s="2" t="str">
        <f ca="1">IFERROR(__xludf.DUMMYFUNCTION("""COMPUTED_VALUE"""),"県芦屋高")</f>
        <v>県芦屋高</v>
      </c>
      <c r="C288" s="2" t="e">
        <f ca="1"/>
        <v>#N/A</v>
      </c>
      <c r="D288" s="2" t="e">
        <f ca="1"/>
        <v>#REF!</v>
      </c>
      <c r="E288" s="29" t="e">
        <f ca="1"/>
        <v>#REF!</v>
      </c>
      <c r="F288" s="30" t="e">
        <f ca="1"/>
        <v>#REF!</v>
      </c>
      <c r="G288" s="29" t="e">
        <f ca="1"/>
        <v>#REF!</v>
      </c>
      <c r="H288" s="30" t="e">
        <f ca="1"/>
        <v>#REF!</v>
      </c>
      <c r="I288" s="29" t="e">
        <f ca="1"/>
        <v>#REF!</v>
      </c>
      <c r="J288" s="29" t="e">
        <f ca="1"/>
        <v>#REF!</v>
      </c>
      <c r="K288" s="29" t="e">
        <f ca="1"/>
        <v>#REF!</v>
      </c>
      <c r="L288" s="29" t="e">
        <f ca="1"/>
        <v>#REF!</v>
      </c>
      <c r="M288" s="29" t="e">
        <f ca="1"/>
        <v>#REF!</v>
      </c>
      <c r="N288" s="29" t="e">
        <f ca="1"/>
        <v>#REF!</v>
      </c>
      <c r="O288" s="2" t="e">
        <f ca="1"/>
        <v>#N/A</v>
      </c>
      <c r="P288" s="2" t="e">
        <f ca="1"/>
        <v>#N/A</v>
      </c>
      <c r="Q288" s="2" t="s">
        <v>5</v>
      </c>
      <c r="R288" s="2" t="s">
        <v>5</v>
      </c>
      <c r="U288" s="2"/>
      <c r="V288" s="2" t="s">
        <v>5</v>
      </c>
      <c r="W288" s="2" t="s">
        <v>5</v>
      </c>
      <c r="X288" s="29" t="s">
        <v>5</v>
      </c>
      <c r="Y288" s="30" t="s">
        <v>5</v>
      </c>
      <c r="Z288" s="29" t="s">
        <v>5</v>
      </c>
      <c r="AA288" s="30" t="s">
        <v>5</v>
      </c>
      <c r="AB288" s="29" t="s">
        <v>5</v>
      </c>
      <c r="AC288" s="29" t="s">
        <v>5</v>
      </c>
      <c r="AD288" s="29" t="s">
        <v>5</v>
      </c>
      <c r="AE288" s="29" t="s">
        <v>5</v>
      </c>
      <c r="AF288" s="29" t="s">
        <v>5</v>
      </c>
      <c r="AG288" s="29" t="s">
        <v>5</v>
      </c>
      <c r="AH288" s="2" t="s">
        <v>5</v>
      </c>
      <c r="AI288" s="2" t="s">
        <v>5</v>
      </c>
      <c r="AJ288" s="2" t="s">
        <v>5</v>
      </c>
      <c r="AK288" s="2" t="s">
        <v>5</v>
      </c>
    </row>
    <row r="289" spans="2:37" ht="12.5">
      <c r="B289" s="2" t="str">
        <f ca="1">IFERROR(__xludf.DUMMYFUNCTION("""COMPUTED_VALUE"""),"北星学園女子高")</f>
        <v>北星学園女子高</v>
      </c>
      <c r="C289" s="2" t="e">
        <f ca="1"/>
        <v>#N/A</v>
      </c>
      <c r="D289" s="2" t="e">
        <f ca="1"/>
        <v>#REF!</v>
      </c>
      <c r="E289" s="29" t="e">
        <f ca="1"/>
        <v>#REF!</v>
      </c>
      <c r="F289" s="30" t="e">
        <f ca="1"/>
        <v>#REF!</v>
      </c>
      <c r="G289" s="29" t="e">
        <f ca="1"/>
        <v>#REF!</v>
      </c>
      <c r="H289" s="30" t="e">
        <f ca="1"/>
        <v>#REF!</v>
      </c>
      <c r="I289" s="29" t="e">
        <f ca="1"/>
        <v>#REF!</v>
      </c>
      <c r="J289" s="29" t="e">
        <f ca="1"/>
        <v>#REF!</v>
      </c>
      <c r="K289" s="29" t="e">
        <f ca="1"/>
        <v>#REF!</v>
      </c>
      <c r="L289" s="29" t="e">
        <f ca="1"/>
        <v>#REF!</v>
      </c>
      <c r="M289" s="29" t="e">
        <f ca="1"/>
        <v>#REF!</v>
      </c>
      <c r="N289" s="29" t="e">
        <f ca="1"/>
        <v>#REF!</v>
      </c>
      <c r="O289" s="2" t="e">
        <f ca="1"/>
        <v>#N/A</v>
      </c>
      <c r="P289" s="2" t="e">
        <f ca="1"/>
        <v>#N/A</v>
      </c>
      <c r="Q289" s="2" t="s">
        <v>5</v>
      </c>
      <c r="R289" s="2" t="s">
        <v>5</v>
      </c>
      <c r="U289" s="2"/>
      <c r="V289" s="2" t="s">
        <v>5</v>
      </c>
      <c r="W289" s="2" t="s">
        <v>5</v>
      </c>
      <c r="X289" s="29" t="s">
        <v>5</v>
      </c>
      <c r="Y289" s="30" t="s">
        <v>5</v>
      </c>
      <c r="Z289" s="29" t="s">
        <v>5</v>
      </c>
      <c r="AA289" s="30" t="s">
        <v>5</v>
      </c>
      <c r="AB289" s="29" t="s">
        <v>5</v>
      </c>
      <c r="AC289" s="29" t="s">
        <v>5</v>
      </c>
      <c r="AD289" s="29" t="s">
        <v>5</v>
      </c>
      <c r="AE289" s="29" t="s">
        <v>5</v>
      </c>
      <c r="AF289" s="29" t="s">
        <v>5</v>
      </c>
      <c r="AG289" s="29" t="s">
        <v>5</v>
      </c>
      <c r="AH289" s="2" t="s">
        <v>5</v>
      </c>
      <c r="AI289" s="2" t="s">
        <v>5</v>
      </c>
      <c r="AJ289" s="2" t="s">
        <v>5</v>
      </c>
      <c r="AK289" s="2" t="s">
        <v>5</v>
      </c>
    </row>
    <row r="290" spans="2:37" ht="12.5">
      <c r="B290" s="2" t="str">
        <f ca="1">IFERROR(__xludf.DUMMYFUNCTION("""COMPUTED_VALUE"""),"府中高")</f>
        <v>府中高</v>
      </c>
      <c r="C290" s="2" t="e">
        <f ca="1"/>
        <v>#N/A</v>
      </c>
      <c r="D290" s="2" t="e">
        <f ca="1"/>
        <v>#REF!</v>
      </c>
      <c r="E290" s="29" t="e">
        <f ca="1"/>
        <v>#REF!</v>
      </c>
      <c r="F290" s="30" t="e">
        <f ca="1"/>
        <v>#REF!</v>
      </c>
      <c r="G290" s="29" t="e">
        <f ca="1"/>
        <v>#REF!</v>
      </c>
      <c r="H290" s="30" t="e">
        <f ca="1"/>
        <v>#REF!</v>
      </c>
      <c r="I290" s="29" t="e">
        <f ca="1"/>
        <v>#REF!</v>
      </c>
      <c r="J290" s="29" t="e">
        <f ca="1"/>
        <v>#REF!</v>
      </c>
      <c r="K290" s="29" t="e">
        <f ca="1"/>
        <v>#REF!</v>
      </c>
      <c r="L290" s="29" t="e">
        <f ca="1"/>
        <v>#REF!</v>
      </c>
      <c r="M290" s="29" t="e">
        <f ca="1"/>
        <v>#REF!</v>
      </c>
      <c r="N290" s="29" t="e">
        <f ca="1"/>
        <v>#REF!</v>
      </c>
      <c r="O290" s="2" t="e">
        <f ca="1"/>
        <v>#N/A</v>
      </c>
      <c r="P290" s="2" t="e">
        <f ca="1"/>
        <v>#N/A</v>
      </c>
      <c r="Q290" s="2" t="s">
        <v>5</v>
      </c>
      <c r="R290" s="2" t="s">
        <v>5</v>
      </c>
      <c r="U290" s="2"/>
      <c r="V290" s="2" t="s">
        <v>5</v>
      </c>
      <c r="W290" s="2" t="s">
        <v>5</v>
      </c>
      <c r="X290" s="29" t="s">
        <v>5</v>
      </c>
      <c r="Y290" s="30" t="s">
        <v>5</v>
      </c>
      <c r="Z290" s="29" t="s">
        <v>5</v>
      </c>
      <c r="AA290" s="30" t="s">
        <v>5</v>
      </c>
      <c r="AB290" s="29" t="s">
        <v>5</v>
      </c>
      <c r="AC290" s="29" t="s">
        <v>5</v>
      </c>
      <c r="AD290" s="29" t="s">
        <v>5</v>
      </c>
      <c r="AE290" s="29" t="s">
        <v>5</v>
      </c>
      <c r="AF290" s="29" t="s">
        <v>5</v>
      </c>
      <c r="AG290" s="29" t="s">
        <v>5</v>
      </c>
      <c r="AH290" s="2" t="s">
        <v>5</v>
      </c>
      <c r="AI290" s="2" t="s">
        <v>5</v>
      </c>
      <c r="AJ290" s="2" t="s">
        <v>5</v>
      </c>
      <c r="AK290" s="2" t="s">
        <v>5</v>
      </c>
    </row>
    <row r="291" spans="2:37" ht="12.5">
      <c r="B291" s="2" t="str">
        <f ca="1">IFERROR(__xludf.DUMMYFUNCTION("""COMPUTED_VALUE"""),"浜松日体高")</f>
        <v>浜松日体高</v>
      </c>
      <c r="C291" s="2" t="e">
        <f ca="1"/>
        <v>#N/A</v>
      </c>
      <c r="D291" s="2" t="e">
        <f ca="1"/>
        <v>#REF!</v>
      </c>
      <c r="E291" s="29" t="e">
        <f ca="1"/>
        <v>#REF!</v>
      </c>
      <c r="F291" s="30" t="e">
        <f ca="1"/>
        <v>#REF!</v>
      </c>
      <c r="G291" s="29" t="e">
        <f ca="1"/>
        <v>#REF!</v>
      </c>
      <c r="H291" s="30" t="e">
        <f ca="1"/>
        <v>#REF!</v>
      </c>
      <c r="I291" s="29" t="e">
        <f ca="1"/>
        <v>#REF!</v>
      </c>
      <c r="J291" s="29" t="e">
        <f ca="1"/>
        <v>#REF!</v>
      </c>
      <c r="K291" s="29" t="e">
        <f ca="1"/>
        <v>#REF!</v>
      </c>
      <c r="L291" s="29" t="e">
        <f ca="1"/>
        <v>#REF!</v>
      </c>
      <c r="M291" s="29" t="e">
        <f ca="1"/>
        <v>#REF!</v>
      </c>
      <c r="N291" s="29" t="e">
        <f ca="1"/>
        <v>#REF!</v>
      </c>
      <c r="O291" s="2" t="e">
        <f ca="1"/>
        <v>#N/A</v>
      </c>
      <c r="P291" s="2" t="e">
        <f ca="1"/>
        <v>#N/A</v>
      </c>
      <c r="Q291" s="2" t="s">
        <v>5</v>
      </c>
      <c r="R291" s="2" t="s">
        <v>5</v>
      </c>
      <c r="U291" s="2"/>
      <c r="V291" s="2" t="s">
        <v>5</v>
      </c>
      <c r="W291" s="2" t="s">
        <v>5</v>
      </c>
      <c r="X291" s="29" t="s">
        <v>5</v>
      </c>
      <c r="Y291" s="30" t="s">
        <v>5</v>
      </c>
      <c r="Z291" s="29" t="s">
        <v>5</v>
      </c>
      <c r="AA291" s="30" t="s">
        <v>5</v>
      </c>
      <c r="AB291" s="29" t="s">
        <v>5</v>
      </c>
      <c r="AC291" s="29" t="s">
        <v>5</v>
      </c>
      <c r="AD291" s="29" t="s">
        <v>5</v>
      </c>
      <c r="AE291" s="29" t="s">
        <v>5</v>
      </c>
      <c r="AF291" s="29" t="s">
        <v>5</v>
      </c>
      <c r="AG291" s="29" t="s">
        <v>5</v>
      </c>
      <c r="AH291" s="2" t="s">
        <v>5</v>
      </c>
      <c r="AI291" s="2" t="s">
        <v>5</v>
      </c>
      <c r="AJ291" s="2" t="s">
        <v>5</v>
      </c>
      <c r="AK291" s="2" t="s">
        <v>5</v>
      </c>
    </row>
    <row r="292" spans="2:37" ht="12.5">
      <c r="B292" s="2" t="str">
        <f ca="1">IFERROR(__xludf.DUMMYFUNCTION("""COMPUTED_VALUE"""),"皇學館高")</f>
        <v>皇學館高</v>
      </c>
      <c r="C292" s="2" t="e">
        <f ca="1"/>
        <v>#N/A</v>
      </c>
      <c r="D292" s="2" t="e">
        <f ca="1"/>
        <v>#REF!</v>
      </c>
      <c r="E292" s="29" t="e">
        <f ca="1"/>
        <v>#REF!</v>
      </c>
      <c r="F292" s="30" t="e">
        <f ca="1"/>
        <v>#REF!</v>
      </c>
      <c r="G292" s="29" t="e">
        <f ca="1"/>
        <v>#REF!</v>
      </c>
      <c r="H292" s="30" t="e">
        <f ca="1"/>
        <v>#REF!</v>
      </c>
      <c r="I292" s="29" t="e">
        <f ca="1"/>
        <v>#REF!</v>
      </c>
      <c r="J292" s="29" t="e">
        <f ca="1"/>
        <v>#REF!</v>
      </c>
      <c r="K292" s="29" t="e">
        <f ca="1"/>
        <v>#REF!</v>
      </c>
      <c r="L292" s="29" t="e">
        <f ca="1"/>
        <v>#REF!</v>
      </c>
      <c r="M292" s="29" t="e">
        <f ca="1"/>
        <v>#REF!</v>
      </c>
      <c r="N292" s="29" t="e">
        <f ca="1"/>
        <v>#REF!</v>
      </c>
      <c r="O292" s="2" t="e">
        <f ca="1"/>
        <v>#N/A</v>
      </c>
      <c r="P292" s="2" t="e">
        <f ca="1"/>
        <v>#N/A</v>
      </c>
      <c r="Q292" s="2" t="s">
        <v>5</v>
      </c>
      <c r="R292" s="2" t="s">
        <v>5</v>
      </c>
      <c r="U292" s="2"/>
      <c r="V292" s="2" t="s">
        <v>5</v>
      </c>
      <c r="W292" s="2" t="s">
        <v>5</v>
      </c>
      <c r="X292" s="29" t="s">
        <v>5</v>
      </c>
      <c r="Y292" s="30" t="s">
        <v>5</v>
      </c>
      <c r="Z292" s="29" t="s">
        <v>5</v>
      </c>
      <c r="AA292" s="30" t="s">
        <v>5</v>
      </c>
      <c r="AB292" s="29" t="s">
        <v>5</v>
      </c>
      <c r="AC292" s="29" t="s">
        <v>5</v>
      </c>
      <c r="AD292" s="29" t="s">
        <v>5</v>
      </c>
      <c r="AE292" s="29" t="s">
        <v>5</v>
      </c>
      <c r="AF292" s="29" t="s">
        <v>5</v>
      </c>
      <c r="AG292" s="29" t="s">
        <v>5</v>
      </c>
      <c r="AH292" s="2" t="s">
        <v>5</v>
      </c>
      <c r="AI292" s="2" t="s">
        <v>5</v>
      </c>
      <c r="AJ292" s="2" t="s">
        <v>5</v>
      </c>
      <c r="AK292" s="2" t="s">
        <v>5</v>
      </c>
    </row>
    <row r="293" spans="2:37" ht="12.5">
      <c r="B293" s="2" t="str">
        <f ca="1">IFERROR(__xludf.DUMMYFUNCTION("""COMPUTED_VALUE"""),"加古川東高")</f>
        <v>加古川東高</v>
      </c>
      <c r="C293" s="2" t="e">
        <f ca="1"/>
        <v>#N/A</v>
      </c>
      <c r="D293" s="2" t="e">
        <f ca="1"/>
        <v>#REF!</v>
      </c>
      <c r="E293" s="29" t="e">
        <f ca="1"/>
        <v>#REF!</v>
      </c>
      <c r="F293" s="30" t="e">
        <f ca="1"/>
        <v>#REF!</v>
      </c>
      <c r="G293" s="29" t="e">
        <f ca="1"/>
        <v>#REF!</v>
      </c>
      <c r="H293" s="30" t="e">
        <f ca="1"/>
        <v>#REF!</v>
      </c>
      <c r="I293" s="29" t="e">
        <f ca="1"/>
        <v>#REF!</v>
      </c>
      <c r="J293" s="29" t="e">
        <f ca="1"/>
        <v>#REF!</v>
      </c>
      <c r="K293" s="29" t="e">
        <f ca="1"/>
        <v>#REF!</v>
      </c>
      <c r="L293" s="29" t="e">
        <f ca="1"/>
        <v>#REF!</v>
      </c>
      <c r="M293" s="29" t="e">
        <f ca="1"/>
        <v>#REF!</v>
      </c>
      <c r="N293" s="29" t="e">
        <f ca="1"/>
        <v>#REF!</v>
      </c>
      <c r="O293" s="2" t="e">
        <f ca="1"/>
        <v>#N/A</v>
      </c>
      <c r="P293" s="2" t="e">
        <f ca="1"/>
        <v>#N/A</v>
      </c>
      <c r="Q293" s="2" t="s">
        <v>5</v>
      </c>
      <c r="R293" s="2" t="s">
        <v>5</v>
      </c>
      <c r="U293" s="2"/>
      <c r="V293" s="2" t="s">
        <v>5</v>
      </c>
      <c r="W293" s="2" t="s">
        <v>5</v>
      </c>
      <c r="X293" s="29" t="s">
        <v>5</v>
      </c>
      <c r="Y293" s="30" t="s">
        <v>5</v>
      </c>
      <c r="Z293" s="29" t="s">
        <v>5</v>
      </c>
      <c r="AA293" s="30" t="s">
        <v>5</v>
      </c>
      <c r="AB293" s="29" t="s">
        <v>5</v>
      </c>
      <c r="AC293" s="29" t="s">
        <v>5</v>
      </c>
      <c r="AD293" s="29" t="s">
        <v>5</v>
      </c>
      <c r="AE293" s="29" t="s">
        <v>5</v>
      </c>
      <c r="AF293" s="29" t="s">
        <v>5</v>
      </c>
      <c r="AG293" s="29" t="s">
        <v>5</v>
      </c>
      <c r="AH293" s="2" t="s">
        <v>5</v>
      </c>
      <c r="AI293" s="2" t="s">
        <v>5</v>
      </c>
      <c r="AJ293" s="2" t="s">
        <v>5</v>
      </c>
      <c r="AK293" s="2" t="s">
        <v>5</v>
      </c>
    </row>
    <row r="294" spans="2:37" ht="12.5">
      <c r="B294" s="2" t="str">
        <f ca="1">IFERROR(__xludf.DUMMYFUNCTION("""COMPUTED_VALUE"""),"致遠館高")</f>
        <v>致遠館高</v>
      </c>
      <c r="C294" s="2" t="e">
        <f ca="1"/>
        <v>#N/A</v>
      </c>
      <c r="D294" s="2" t="e">
        <f ca="1"/>
        <v>#REF!</v>
      </c>
      <c r="E294" s="29" t="e">
        <f ca="1"/>
        <v>#REF!</v>
      </c>
      <c r="F294" s="30" t="e">
        <f ca="1"/>
        <v>#REF!</v>
      </c>
      <c r="G294" s="29" t="e">
        <f ca="1"/>
        <v>#REF!</v>
      </c>
      <c r="H294" s="30" t="e">
        <f ca="1"/>
        <v>#REF!</v>
      </c>
      <c r="I294" s="29" t="e">
        <f ca="1"/>
        <v>#REF!</v>
      </c>
      <c r="J294" s="29" t="e">
        <f ca="1"/>
        <v>#REF!</v>
      </c>
      <c r="K294" s="29" t="e">
        <f ca="1"/>
        <v>#REF!</v>
      </c>
      <c r="L294" s="29" t="e">
        <f ca="1"/>
        <v>#REF!</v>
      </c>
      <c r="M294" s="29" t="e">
        <f ca="1"/>
        <v>#REF!</v>
      </c>
      <c r="N294" s="29" t="e">
        <f ca="1"/>
        <v>#REF!</v>
      </c>
      <c r="O294" s="2" t="e">
        <f ca="1"/>
        <v>#N/A</v>
      </c>
      <c r="P294" s="2" t="e">
        <f ca="1"/>
        <v>#N/A</v>
      </c>
      <c r="Q294" s="2" t="s">
        <v>5</v>
      </c>
      <c r="R294" s="2" t="s">
        <v>5</v>
      </c>
      <c r="U294" s="2"/>
      <c r="V294" s="2" t="s">
        <v>5</v>
      </c>
      <c r="W294" s="2" t="s">
        <v>5</v>
      </c>
      <c r="X294" s="29" t="s">
        <v>5</v>
      </c>
      <c r="Y294" s="30" t="s">
        <v>5</v>
      </c>
      <c r="Z294" s="29" t="s">
        <v>5</v>
      </c>
      <c r="AA294" s="30" t="s">
        <v>5</v>
      </c>
      <c r="AB294" s="29" t="s">
        <v>5</v>
      </c>
      <c r="AC294" s="29" t="s">
        <v>5</v>
      </c>
      <c r="AD294" s="29" t="s">
        <v>5</v>
      </c>
      <c r="AE294" s="29" t="s">
        <v>5</v>
      </c>
      <c r="AF294" s="29" t="s">
        <v>5</v>
      </c>
      <c r="AG294" s="29" t="s">
        <v>5</v>
      </c>
      <c r="AH294" s="2" t="s">
        <v>5</v>
      </c>
      <c r="AI294" s="2" t="s">
        <v>5</v>
      </c>
      <c r="AJ294" s="2" t="s">
        <v>5</v>
      </c>
      <c r="AK294" s="2" t="s">
        <v>5</v>
      </c>
    </row>
    <row r="295" spans="2:37" ht="12.5">
      <c r="B295" s="2" t="str">
        <f ca="1">IFERROR(__xludf.DUMMYFUNCTION("""COMPUTED_VALUE"""),"桐朋女子高")</f>
        <v>桐朋女子高</v>
      </c>
      <c r="C295" s="2" t="e">
        <f ca="1"/>
        <v>#N/A</v>
      </c>
      <c r="D295" s="2" t="e">
        <f ca="1"/>
        <v>#REF!</v>
      </c>
      <c r="E295" s="29" t="e">
        <f ca="1"/>
        <v>#REF!</v>
      </c>
      <c r="F295" s="30" t="e">
        <f ca="1"/>
        <v>#REF!</v>
      </c>
      <c r="G295" s="29" t="e">
        <f ca="1"/>
        <v>#REF!</v>
      </c>
      <c r="H295" s="30" t="e">
        <f ca="1"/>
        <v>#REF!</v>
      </c>
      <c r="I295" s="29" t="e">
        <f ca="1"/>
        <v>#REF!</v>
      </c>
      <c r="J295" s="29" t="e">
        <f ca="1"/>
        <v>#REF!</v>
      </c>
      <c r="K295" s="29" t="e">
        <f ca="1"/>
        <v>#REF!</v>
      </c>
      <c r="L295" s="29" t="e">
        <f ca="1"/>
        <v>#REF!</v>
      </c>
      <c r="M295" s="29" t="e">
        <f ca="1"/>
        <v>#REF!</v>
      </c>
      <c r="N295" s="29" t="e">
        <f ca="1"/>
        <v>#REF!</v>
      </c>
      <c r="O295" s="2" t="e">
        <f ca="1"/>
        <v>#N/A</v>
      </c>
      <c r="P295" s="2" t="e">
        <f ca="1"/>
        <v>#N/A</v>
      </c>
      <c r="Q295" s="2" t="s">
        <v>5</v>
      </c>
      <c r="R295" s="2" t="s">
        <v>5</v>
      </c>
      <c r="U295" s="2"/>
      <c r="V295" s="2" t="s">
        <v>5</v>
      </c>
      <c r="W295" s="2" t="s">
        <v>5</v>
      </c>
      <c r="X295" s="29" t="s">
        <v>5</v>
      </c>
      <c r="Y295" s="30" t="s">
        <v>5</v>
      </c>
      <c r="Z295" s="29" t="s">
        <v>5</v>
      </c>
      <c r="AA295" s="30" t="s">
        <v>5</v>
      </c>
      <c r="AB295" s="29" t="s">
        <v>5</v>
      </c>
      <c r="AC295" s="29" t="s">
        <v>5</v>
      </c>
      <c r="AD295" s="29" t="s">
        <v>5</v>
      </c>
      <c r="AE295" s="29" t="s">
        <v>5</v>
      </c>
      <c r="AF295" s="29" t="s">
        <v>5</v>
      </c>
      <c r="AG295" s="29" t="s">
        <v>5</v>
      </c>
      <c r="AH295" s="2" t="s">
        <v>5</v>
      </c>
      <c r="AI295" s="2" t="s">
        <v>5</v>
      </c>
      <c r="AJ295" s="2" t="s">
        <v>5</v>
      </c>
      <c r="AK295" s="2" t="s">
        <v>5</v>
      </c>
    </row>
    <row r="296" spans="2:37" ht="12.5">
      <c r="B296" s="2" t="str">
        <f ca="1">IFERROR(__xludf.DUMMYFUNCTION("""COMPUTED_VALUE"""),"武生東")</f>
        <v>武生東</v>
      </c>
      <c r="C296" s="2" t="e">
        <f ca="1"/>
        <v>#N/A</v>
      </c>
      <c r="D296" s="2" t="e">
        <f ca="1"/>
        <v>#REF!</v>
      </c>
      <c r="E296" s="29" t="e">
        <f ca="1"/>
        <v>#REF!</v>
      </c>
      <c r="F296" s="30" t="e">
        <f ca="1"/>
        <v>#REF!</v>
      </c>
      <c r="G296" s="29" t="e">
        <f ca="1"/>
        <v>#REF!</v>
      </c>
      <c r="H296" s="30" t="e">
        <f ca="1"/>
        <v>#REF!</v>
      </c>
      <c r="I296" s="29" t="e">
        <f ca="1"/>
        <v>#REF!</v>
      </c>
      <c r="J296" s="29" t="e">
        <f ca="1"/>
        <v>#REF!</v>
      </c>
      <c r="K296" s="29" t="e">
        <f ca="1"/>
        <v>#REF!</v>
      </c>
      <c r="L296" s="29" t="e">
        <f ca="1"/>
        <v>#REF!</v>
      </c>
      <c r="M296" s="29" t="e">
        <f ca="1"/>
        <v>#REF!</v>
      </c>
      <c r="N296" s="29" t="e">
        <f ca="1"/>
        <v>#REF!</v>
      </c>
      <c r="O296" s="2" t="e">
        <f ca="1"/>
        <v>#N/A</v>
      </c>
      <c r="P296" s="2" t="e">
        <f ca="1"/>
        <v>#N/A</v>
      </c>
      <c r="Q296" s="2" t="s">
        <v>5</v>
      </c>
      <c r="R296" s="2" t="s">
        <v>5</v>
      </c>
      <c r="U296" s="2"/>
      <c r="V296" s="2" t="s">
        <v>5</v>
      </c>
      <c r="W296" s="2" t="s">
        <v>5</v>
      </c>
      <c r="X296" s="29" t="s">
        <v>5</v>
      </c>
      <c r="Y296" s="30" t="s">
        <v>5</v>
      </c>
      <c r="Z296" s="29" t="s">
        <v>5</v>
      </c>
      <c r="AA296" s="30" t="s">
        <v>5</v>
      </c>
      <c r="AB296" s="29" t="s">
        <v>5</v>
      </c>
      <c r="AC296" s="29" t="s">
        <v>5</v>
      </c>
      <c r="AD296" s="29" t="s">
        <v>5</v>
      </c>
      <c r="AE296" s="29" t="s">
        <v>5</v>
      </c>
      <c r="AF296" s="29" t="s">
        <v>5</v>
      </c>
      <c r="AG296" s="29" t="s">
        <v>5</v>
      </c>
      <c r="AH296" s="2" t="s">
        <v>5</v>
      </c>
      <c r="AI296" s="2" t="s">
        <v>5</v>
      </c>
      <c r="AJ296" s="2" t="s">
        <v>5</v>
      </c>
      <c r="AK296" s="2" t="s">
        <v>5</v>
      </c>
    </row>
    <row r="297" spans="2:37" ht="12.5">
      <c r="B297" s="2" t="str">
        <f ca="1">IFERROR(__xludf.DUMMYFUNCTION("""COMPUTED_VALUE"""),"川越高")</f>
        <v>川越高</v>
      </c>
      <c r="C297" s="2" t="e">
        <f ca="1"/>
        <v>#N/A</v>
      </c>
      <c r="D297" s="2" t="e">
        <f ca="1"/>
        <v>#REF!</v>
      </c>
      <c r="E297" s="29" t="e">
        <f ca="1"/>
        <v>#REF!</v>
      </c>
      <c r="F297" s="30" t="e">
        <f ca="1"/>
        <v>#REF!</v>
      </c>
      <c r="G297" s="29" t="e">
        <f ca="1"/>
        <v>#REF!</v>
      </c>
      <c r="H297" s="30" t="e">
        <f ca="1"/>
        <v>#REF!</v>
      </c>
      <c r="I297" s="29" t="e">
        <f ca="1"/>
        <v>#REF!</v>
      </c>
      <c r="J297" s="29" t="e">
        <f ca="1"/>
        <v>#REF!</v>
      </c>
      <c r="K297" s="29" t="e">
        <f ca="1"/>
        <v>#REF!</v>
      </c>
      <c r="L297" s="29" t="e">
        <f ca="1"/>
        <v>#REF!</v>
      </c>
      <c r="M297" s="29" t="e">
        <f ca="1"/>
        <v>#REF!</v>
      </c>
      <c r="N297" s="29" t="e">
        <f ca="1"/>
        <v>#REF!</v>
      </c>
      <c r="O297" s="2" t="e">
        <f ca="1"/>
        <v>#N/A</v>
      </c>
      <c r="P297" s="2" t="e">
        <f ca="1"/>
        <v>#N/A</v>
      </c>
      <c r="Q297" s="2" t="s">
        <v>5</v>
      </c>
      <c r="R297" s="2" t="s">
        <v>5</v>
      </c>
      <c r="U297" s="2"/>
      <c r="V297" s="2" t="s">
        <v>5</v>
      </c>
      <c r="W297" s="2" t="s">
        <v>5</v>
      </c>
      <c r="X297" s="29" t="s">
        <v>5</v>
      </c>
      <c r="Y297" s="30" t="s">
        <v>5</v>
      </c>
      <c r="Z297" s="29" t="s">
        <v>5</v>
      </c>
      <c r="AA297" s="30" t="s">
        <v>5</v>
      </c>
      <c r="AB297" s="29" t="s">
        <v>5</v>
      </c>
      <c r="AC297" s="29" t="s">
        <v>5</v>
      </c>
      <c r="AD297" s="29" t="s">
        <v>5</v>
      </c>
      <c r="AE297" s="29" t="s">
        <v>5</v>
      </c>
      <c r="AF297" s="29" t="s">
        <v>5</v>
      </c>
      <c r="AG297" s="29" t="s">
        <v>5</v>
      </c>
      <c r="AH297" s="2" t="s">
        <v>5</v>
      </c>
      <c r="AI297" s="2" t="s">
        <v>5</v>
      </c>
      <c r="AJ297" s="2" t="s">
        <v>5</v>
      </c>
      <c r="AK297" s="2" t="s">
        <v>5</v>
      </c>
    </row>
    <row r="298" spans="2:37" ht="12.5">
      <c r="B298" s="2" t="str">
        <f ca="1">IFERROR(__xludf.DUMMYFUNCTION("""COMPUTED_VALUE"""),"伝習館高")</f>
        <v>伝習館高</v>
      </c>
      <c r="C298" s="2" t="e">
        <f ca="1"/>
        <v>#N/A</v>
      </c>
      <c r="D298" s="2" t="e">
        <f ca="1"/>
        <v>#REF!</v>
      </c>
      <c r="E298" s="29" t="e">
        <f ca="1"/>
        <v>#REF!</v>
      </c>
      <c r="F298" s="30" t="e">
        <f ca="1"/>
        <v>#REF!</v>
      </c>
      <c r="G298" s="29" t="e">
        <f ca="1"/>
        <v>#REF!</v>
      </c>
      <c r="H298" s="30" t="e">
        <f ca="1"/>
        <v>#REF!</v>
      </c>
      <c r="I298" s="29" t="e">
        <f ca="1"/>
        <v>#REF!</v>
      </c>
      <c r="J298" s="29" t="e">
        <f ca="1"/>
        <v>#REF!</v>
      </c>
      <c r="K298" s="29" t="e">
        <f ca="1"/>
        <v>#REF!</v>
      </c>
      <c r="L298" s="29" t="e">
        <f ca="1"/>
        <v>#REF!</v>
      </c>
      <c r="M298" s="29" t="e">
        <f ca="1"/>
        <v>#REF!</v>
      </c>
      <c r="N298" s="29" t="e">
        <f ca="1"/>
        <v>#REF!</v>
      </c>
      <c r="O298" s="2" t="e">
        <f ca="1"/>
        <v>#N/A</v>
      </c>
      <c r="P298" s="2" t="e">
        <f ca="1"/>
        <v>#N/A</v>
      </c>
      <c r="Q298" s="2" t="s">
        <v>5</v>
      </c>
      <c r="R298" s="2" t="s">
        <v>5</v>
      </c>
      <c r="U298" s="2"/>
      <c r="V298" s="2" t="s">
        <v>5</v>
      </c>
      <c r="W298" s="2" t="s">
        <v>5</v>
      </c>
      <c r="X298" s="29" t="s">
        <v>5</v>
      </c>
      <c r="Y298" s="30" t="s">
        <v>5</v>
      </c>
      <c r="Z298" s="29" t="s">
        <v>5</v>
      </c>
      <c r="AA298" s="30" t="s">
        <v>5</v>
      </c>
      <c r="AB298" s="29" t="s">
        <v>5</v>
      </c>
      <c r="AC298" s="29" t="s">
        <v>5</v>
      </c>
      <c r="AD298" s="29" t="s">
        <v>5</v>
      </c>
      <c r="AE298" s="29" t="s">
        <v>5</v>
      </c>
      <c r="AF298" s="29" t="s">
        <v>5</v>
      </c>
      <c r="AG298" s="29" t="s">
        <v>5</v>
      </c>
      <c r="AH298" s="2" t="s">
        <v>5</v>
      </c>
      <c r="AI298" s="2" t="s">
        <v>5</v>
      </c>
      <c r="AJ298" s="2" t="s">
        <v>5</v>
      </c>
      <c r="AK298" s="2" t="s">
        <v>5</v>
      </c>
    </row>
    <row r="299" spans="2:37" ht="12.5">
      <c r="B299" s="2" t="str">
        <f ca="1">IFERROR(__xludf.DUMMYFUNCTION("""COMPUTED_VALUE"""),"お茶の水女子大附高")</f>
        <v>お茶の水女子大附高</v>
      </c>
      <c r="C299" s="2" t="e">
        <f ca="1"/>
        <v>#N/A</v>
      </c>
      <c r="D299" s="2" t="e">
        <f ca="1"/>
        <v>#REF!</v>
      </c>
      <c r="E299" s="29" t="e">
        <f ca="1"/>
        <v>#REF!</v>
      </c>
      <c r="F299" s="30" t="e">
        <f ca="1"/>
        <v>#REF!</v>
      </c>
      <c r="G299" s="29" t="e">
        <f ca="1"/>
        <v>#REF!</v>
      </c>
      <c r="H299" s="30" t="e">
        <f ca="1"/>
        <v>#REF!</v>
      </c>
      <c r="I299" s="29" t="e">
        <f ca="1"/>
        <v>#REF!</v>
      </c>
      <c r="J299" s="29" t="e">
        <f ca="1"/>
        <v>#REF!</v>
      </c>
      <c r="K299" s="29" t="e">
        <f ca="1"/>
        <v>#REF!</v>
      </c>
      <c r="L299" s="29" t="e">
        <f ca="1"/>
        <v>#REF!</v>
      </c>
      <c r="M299" s="29" t="e">
        <f ca="1"/>
        <v>#REF!</v>
      </c>
      <c r="N299" s="29" t="e">
        <f ca="1"/>
        <v>#REF!</v>
      </c>
      <c r="O299" s="2" t="e">
        <f ca="1"/>
        <v>#N/A</v>
      </c>
      <c r="P299" s="2" t="e">
        <f ca="1"/>
        <v>#N/A</v>
      </c>
      <c r="Q299" s="2" t="s">
        <v>5</v>
      </c>
      <c r="R299" s="2" t="s">
        <v>5</v>
      </c>
      <c r="U299" s="2"/>
      <c r="V299" s="2" t="s">
        <v>5</v>
      </c>
      <c r="W299" s="2" t="s">
        <v>5</v>
      </c>
      <c r="X299" s="29" t="s">
        <v>5</v>
      </c>
      <c r="Y299" s="30" t="s">
        <v>5</v>
      </c>
      <c r="Z299" s="29" t="s">
        <v>5</v>
      </c>
      <c r="AA299" s="30" t="s">
        <v>5</v>
      </c>
      <c r="AB299" s="29" t="s">
        <v>5</v>
      </c>
      <c r="AC299" s="29" t="s">
        <v>5</v>
      </c>
      <c r="AD299" s="29" t="s">
        <v>5</v>
      </c>
      <c r="AE299" s="29" t="s">
        <v>5</v>
      </c>
      <c r="AF299" s="29" t="s">
        <v>5</v>
      </c>
      <c r="AG299" s="29" t="s">
        <v>5</v>
      </c>
      <c r="AH299" s="2" t="s">
        <v>5</v>
      </c>
      <c r="AI299" s="2" t="s">
        <v>5</v>
      </c>
      <c r="AJ299" s="2" t="s">
        <v>5</v>
      </c>
      <c r="AK299" s="2" t="s">
        <v>5</v>
      </c>
    </row>
    <row r="300" spans="2:37" ht="12.5">
      <c r="B300" s="2" t="str">
        <f ca="1">IFERROR(__xludf.DUMMYFUNCTION("""COMPUTED_VALUE"""),"攻玉社高")</f>
        <v>攻玉社高</v>
      </c>
      <c r="C300" s="2" t="e">
        <f ca="1"/>
        <v>#N/A</v>
      </c>
      <c r="D300" s="2" t="e">
        <f ca="1"/>
        <v>#REF!</v>
      </c>
      <c r="E300" s="29" t="e">
        <f ca="1"/>
        <v>#REF!</v>
      </c>
      <c r="F300" s="30" t="e">
        <f ca="1"/>
        <v>#REF!</v>
      </c>
      <c r="G300" s="29" t="e">
        <f ca="1"/>
        <v>#REF!</v>
      </c>
      <c r="H300" s="30" t="e">
        <f ca="1"/>
        <v>#REF!</v>
      </c>
      <c r="I300" s="29" t="e">
        <f ca="1"/>
        <v>#REF!</v>
      </c>
      <c r="J300" s="29" t="e">
        <f ca="1"/>
        <v>#REF!</v>
      </c>
      <c r="K300" s="29" t="e">
        <f ca="1"/>
        <v>#REF!</v>
      </c>
      <c r="L300" s="29" t="e">
        <f ca="1"/>
        <v>#REF!</v>
      </c>
      <c r="M300" s="29" t="e">
        <f ca="1"/>
        <v>#REF!</v>
      </c>
      <c r="N300" s="29" t="e">
        <f ca="1"/>
        <v>#REF!</v>
      </c>
      <c r="O300" s="2" t="e">
        <f ca="1"/>
        <v>#N/A</v>
      </c>
      <c r="P300" s="2" t="e">
        <f ca="1"/>
        <v>#N/A</v>
      </c>
      <c r="Q300" s="2" t="s">
        <v>5</v>
      </c>
      <c r="R300" s="2" t="s">
        <v>5</v>
      </c>
      <c r="U300" s="2"/>
      <c r="V300" s="2" t="s">
        <v>5</v>
      </c>
      <c r="W300" s="2" t="s">
        <v>5</v>
      </c>
      <c r="X300" s="29" t="s">
        <v>5</v>
      </c>
      <c r="Y300" s="30" t="s">
        <v>5</v>
      </c>
      <c r="Z300" s="29" t="s">
        <v>5</v>
      </c>
      <c r="AA300" s="30" t="s">
        <v>5</v>
      </c>
      <c r="AB300" s="29" t="s">
        <v>5</v>
      </c>
      <c r="AC300" s="29" t="s">
        <v>5</v>
      </c>
      <c r="AD300" s="29" t="s">
        <v>5</v>
      </c>
      <c r="AE300" s="29" t="s">
        <v>5</v>
      </c>
      <c r="AF300" s="29" t="s">
        <v>5</v>
      </c>
      <c r="AG300" s="29" t="s">
        <v>5</v>
      </c>
      <c r="AH300" s="2" t="s">
        <v>5</v>
      </c>
      <c r="AI300" s="2" t="s">
        <v>5</v>
      </c>
      <c r="AJ300" s="2" t="s">
        <v>5</v>
      </c>
      <c r="AK300" s="2" t="s">
        <v>5</v>
      </c>
    </row>
    <row r="301" spans="2:37" ht="12.5">
      <c r="B301" s="2" t="str">
        <f ca="1">IFERROR(__xludf.DUMMYFUNCTION("""COMPUTED_VALUE"""),"下諏訪向陽高")</f>
        <v>下諏訪向陽高</v>
      </c>
      <c r="C301" s="2" t="e">
        <f ca="1"/>
        <v>#N/A</v>
      </c>
      <c r="D301" s="2" t="e">
        <f ca="1"/>
        <v>#REF!</v>
      </c>
      <c r="E301" s="29" t="e">
        <f ca="1"/>
        <v>#REF!</v>
      </c>
      <c r="F301" s="30" t="e">
        <f ca="1"/>
        <v>#REF!</v>
      </c>
      <c r="G301" s="29" t="e">
        <f ca="1"/>
        <v>#REF!</v>
      </c>
      <c r="H301" s="30" t="e">
        <f ca="1"/>
        <v>#REF!</v>
      </c>
      <c r="I301" s="29" t="e">
        <f ca="1"/>
        <v>#REF!</v>
      </c>
      <c r="J301" s="29" t="e">
        <f ca="1"/>
        <v>#REF!</v>
      </c>
      <c r="K301" s="29" t="e">
        <f ca="1"/>
        <v>#REF!</v>
      </c>
      <c r="L301" s="29" t="e">
        <f ca="1"/>
        <v>#REF!</v>
      </c>
      <c r="M301" s="29" t="e">
        <f ca="1"/>
        <v>#REF!</v>
      </c>
      <c r="N301" s="29" t="e">
        <f ca="1"/>
        <v>#REF!</v>
      </c>
      <c r="O301" s="2" t="e">
        <f ca="1"/>
        <v>#N/A</v>
      </c>
      <c r="P301" s="2" t="e">
        <f ca="1"/>
        <v>#N/A</v>
      </c>
      <c r="Q301" s="2" t="s">
        <v>5</v>
      </c>
      <c r="R301" s="2" t="s">
        <v>5</v>
      </c>
      <c r="U301" s="2"/>
      <c r="V301" s="2" t="s">
        <v>5</v>
      </c>
      <c r="W301" s="2" t="s">
        <v>5</v>
      </c>
      <c r="X301" s="29" t="s">
        <v>5</v>
      </c>
      <c r="Y301" s="30" t="s">
        <v>5</v>
      </c>
      <c r="Z301" s="29" t="s">
        <v>5</v>
      </c>
      <c r="AA301" s="30" t="s">
        <v>5</v>
      </c>
      <c r="AB301" s="29" t="s">
        <v>5</v>
      </c>
      <c r="AC301" s="29" t="s">
        <v>5</v>
      </c>
      <c r="AD301" s="29" t="s">
        <v>5</v>
      </c>
      <c r="AE301" s="29" t="s">
        <v>5</v>
      </c>
      <c r="AF301" s="29" t="s">
        <v>5</v>
      </c>
      <c r="AG301" s="29" t="s">
        <v>5</v>
      </c>
      <c r="AH301" s="2" t="s">
        <v>5</v>
      </c>
      <c r="AI301" s="2" t="s">
        <v>5</v>
      </c>
      <c r="AJ301" s="2" t="s">
        <v>5</v>
      </c>
      <c r="AK301" s="2" t="s">
        <v>5</v>
      </c>
    </row>
    <row r="302" spans="2:37" ht="12.5">
      <c r="B302" s="2" t="str">
        <f ca="1">IFERROR(__xludf.DUMMYFUNCTION("""COMPUTED_VALUE"""),"加納高")</f>
        <v>加納高</v>
      </c>
      <c r="C302" s="2" t="e">
        <f ca="1"/>
        <v>#N/A</v>
      </c>
      <c r="D302" s="2" t="e">
        <f ca="1"/>
        <v>#REF!</v>
      </c>
      <c r="E302" s="29" t="e">
        <f ca="1"/>
        <v>#REF!</v>
      </c>
      <c r="F302" s="30" t="e">
        <f ca="1"/>
        <v>#REF!</v>
      </c>
      <c r="G302" s="29" t="e">
        <f ca="1"/>
        <v>#REF!</v>
      </c>
      <c r="H302" s="30" t="e">
        <f ca="1"/>
        <v>#REF!</v>
      </c>
      <c r="I302" s="29" t="e">
        <f ca="1"/>
        <v>#REF!</v>
      </c>
      <c r="J302" s="29" t="e">
        <f ca="1"/>
        <v>#REF!</v>
      </c>
      <c r="K302" s="29" t="e">
        <f ca="1"/>
        <v>#REF!</v>
      </c>
      <c r="L302" s="29" t="e">
        <f ca="1"/>
        <v>#REF!</v>
      </c>
      <c r="M302" s="29" t="e">
        <f ca="1"/>
        <v>#REF!</v>
      </c>
      <c r="N302" s="29" t="e">
        <f ca="1"/>
        <v>#REF!</v>
      </c>
      <c r="O302" s="2" t="e">
        <f ca="1"/>
        <v>#N/A</v>
      </c>
      <c r="P302" s="2" t="e">
        <f ca="1"/>
        <v>#N/A</v>
      </c>
      <c r="Q302" s="2" t="s">
        <v>5</v>
      </c>
      <c r="R302" s="2" t="s">
        <v>5</v>
      </c>
      <c r="U302" s="2"/>
      <c r="V302" s="2" t="s">
        <v>5</v>
      </c>
      <c r="W302" s="2" t="s">
        <v>5</v>
      </c>
      <c r="X302" s="29" t="s">
        <v>5</v>
      </c>
      <c r="Y302" s="30" t="s">
        <v>5</v>
      </c>
      <c r="Z302" s="29" t="s">
        <v>5</v>
      </c>
      <c r="AA302" s="30" t="s">
        <v>5</v>
      </c>
      <c r="AB302" s="29" t="s">
        <v>5</v>
      </c>
      <c r="AC302" s="29" t="s">
        <v>5</v>
      </c>
      <c r="AD302" s="29" t="s">
        <v>5</v>
      </c>
      <c r="AE302" s="29" t="s">
        <v>5</v>
      </c>
      <c r="AF302" s="29" t="s">
        <v>5</v>
      </c>
      <c r="AG302" s="29" t="s">
        <v>5</v>
      </c>
      <c r="AH302" s="2" t="s">
        <v>5</v>
      </c>
      <c r="AI302" s="2" t="s">
        <v>5</v>
      </c>
      <c r="AJ302" s="2" t="s">
        <v>5</v>
      </c>
      <c r="AK302" s="2" t="s">
        <v>5</v>
      </c>
    </row>
    <row r="303" spans="2:37" ht="12.5">
      <c r="B303" s="2" t="str">
        <f ca="1">IFERROR(__xludf.DUMMYFUNCTION("""COMPUTED_VALUE"""),"博多青松高")</f>
        <v>博多青松高</v>
      </c>
      <c r="C303" s="2" t="e">
        <f ca="1"/>
        <v>#N/A</v>
      </c>
      <c r="D303" s="2" t="e">
        <f ca="1"/>
        <v>#REF!</v>
      </c>
      <c r="E303" s="29" t="e">
        <f ca="1"/>
        <v>#REF!</v>
      </c>
      <c r="F303" s="30" t="e">
        <f ca="1"/>
        <v>#REF!</v>
      </c>
      <c r="G303" s="29" t="e">
        <f ca="1"/>
        <v>#REF!</v>
      </c>
      <c r="H303" s="30" t="e">
        <f ca="1"/>
        <v>#REF!</v>
      </c>
      <c r="I303" s="29" t="e">
        <f ca="1"/>
        <v>#REF!</v>
      </c>
      <c r="J303" s="29" t="e">
        <f ca="1"/>
        <v>#REF!</v>
      </c>
      <c r="K303" s="29" t="e">
        <f ca="1"/>
        <v>#REF!</v>
      </c>
      <c r="L303" s="29" t="e">
        <f ca="1"/>
        <v>#REF!</v>
      </c>
      <c r="M303" s="29" t="e">
        <f ca="1"/>
        <v>#REF!</v>
      </c>
      <c r="N303" s="29" t="e">
        <f ca="1"/>
        <v>#REF!</v>
      </c>
      <c r="O303" s="2" t="e">
        <f ca="1"/>
        <v>#N/A</v>
      </c>
      <c r="P303" s="2" t="e">
        <f ca="1"/>
        <v>#N/A</v>
      </c>
      <c r="Q303" s="2" t="s">
        <v>5</v>
      </c>
      <c r="R303" s="2" t="s">
        <v>5</v>
      </c>
      <c r="U303" s="2"/>
      <c r="V303" s="2" t="s">
        <v>5</v>
      </c>
      <c r="W303" s="2" t="s">
        <v>5</v>
      </c>
      <c r="X303" s="29" t="s">
        <v>5</v>
      </c>
      <c r="Y303" s="30" t="s">
        <v>5</v>
      </c>
      <c r="Z303" s="29" t="s">
        <v>5</v>
      </c>
      <c r="AA303" s="30" t="s">
        <v>5</v>
      </c>
      <c r="AB303" s="29" t="s">
        <v>5</v>
      </c>
      <c r="AC303" s="29" t="s">
        <v>5</v>
      </c>
      <c r="AD303" s="29" t="s">
        <v>5</v>
      </c>
      <c r="AE303" s="29" t="s">
        <v>5</v>
      </c>
      <c r="AF303" s="29" t="s">
        <v>5</v>
      </c>
      <c r="AG303" s="29" t="s">
        <v>5</v>
      </c>
      <c r="AH303" s="2" t="s">
        <v>5</v>
      </c>
      <c r="AI303" s="2" t="s">
        <v>5</v>
      </c>
      <c r="AJ303" s="2" t="s">
        <v>5</v>
      </c>
      <c r="AK303" s="2" t="s">
        <v>5</v>
      </c>
    </row>
    <row r="304" spans="2:37" ht="12.5">
      <c r="B304" s="2" t="str">
        <f ca="1">IFERROR(__xludf.DUMMYFUNCTION("""COMPUTED_VALUE"""),"串木野高")</f>
        <v>串木野高</v>
      </c>
      <c r="C304" s="2" t="e">
        <f ca="1"/>
        <v>#N/A</v>
      </c>
      <c r="D304" s="2" t="e">
        <f ca="1"/>
        <v>#REF!</v>
      </c>
      <c r="E304" s="29" t="e">
        <f ca="1"/>
        <v>#REF!</v>
      </c>
      <c r="F304" s="30" t="e">
        <f ca="1"/>
        <v>#REF!</v>
      </c>
      <c r="G304" s="29" t="e">
        <f ca="1"/>
        <v>#REF!</v>
      </c>
      <c r="H304" s="30" t="e">
        <f ca="1"/>
        <v>#REF!</v>
      </c>
      <c r="I304" s="29" t="e">
        <f ca="1"/>
        <v>#REF!</v>
      </c>
      <c r="J304" s="29" t="e">
        <f ca="1"/>
        <v>#REF!</v>
      </c>
      <c r="K304" s="29" t="e">
        <f ca="1"/>
        <v>#REF!</v>
      </c>
      <c r="L304" s="29" t="e">
        <f ca="1"/>
        <v>#REF!</v>
      </c>
      <c r="M304" s="29" t="e">
        <f ca="1"/>
        <v>#REF!</v>
      </c>
      <c r="N304" s="29" t="e">
        <f ca="1"/>
        <v>#REF!</v>
      </c>
      <c r="O304" s="2" t="e">
        <f ca="1"/>
        <v>#N/A</v>
      </c>
      <c r="P304" s="2" t="e">
        <f ca="1"/>
        <v>#N/A</v>
      </c>
      <c r="Q304" s="2" t="s">
        <v>5</v>
      </c>
      <c r="R304" s="2" t="s">
        <v>5</v>
      </c>
      <c r="U304" s="2"/>
      <c r="V304" s="2" t="s">
        <v>5</v>
      </c>
      <c r="W304" s="2" t="s">
        <v>5</v>
      </c>
      <c r="X304" s="29" t="s">
        <v>5</v>
      </c>
      <c r="Y304" s="30" t="s">
        <v>5</v>
      </c>
      <c r="Z304" s="29" t="s">
        <v>5</v>
      </c>
      <c r="AA304" s="30" t="s">
        <v>5</v>
      </c>
      <c r="AB304" s="29" t="s">
        <v>5</v>
      </c>
      <c r="AC304" s="29" t="s">
        <v>5</v>
      </c>
      <c r="AD304" s="29" t="s">
        <v>5</v>
      </c>
      <c r="AE304" s="29" t="s">
        <v>5</v>
      </c>
      <c r="AF304" s="29" t="s">
        <v>5</v>
      </c>
      <c r="AG304" s="29" t="s">
        <v>5</v>
      </c>
      <c r="AH304" s="2" t="s">
        <v>5</v>
      </c>
      <c r="AI304" s="2" t="s">
        <v>5</v>
      </c>
      <c r="AJ304" s="2" t="s">
        <v>5</v>
      </c>
      <c r="AK304" s="2" t="s">
        <v>5</v>
      </c>
    </row>
    <row r="305" spans="2:37" ht="12.5">
      <c r="B305" s="2" t="str">
        <f ca="1">IFERROR(__xludf.DUMMYFUNCTION("""COMPUTED_VALUE"""),"与野高")</f>
        <v>与野高</v>
      </c>
      <c r="C305" s="2" t="e">
        <f ca="1"/>
        <v>#N/A</v>
      </c>
      <c r="D305" s="2" t="e">
        <f ca="1"/>
        <v>#REF!</v>
      </c>
      <c r="E305" s="29" t="e">
        <f ca="1"/>
        <v>#REF!</v>
      </c>
      <c r="F305" s="30" t="e">
        <f ca="1"/>
        <v>#REF!</v>
      </c>
      <c r="G305" s="29" t="e">
        <f ca="1"/>
        <v>#REF!</v>
      </c>
      <c r="H305" s="30" t="e">
        <f ca="1"/>
        <v>#REF!</v>
      </c>
      <c r="I305" s="29" t="e">
        <f ca="1"/>
        <v>#REF!</v>
      </c>
      <c r="J305" s="29" t="e">
        <f ca="1"/>
        <v>#REF!</v>
      </c>
      <c r="K305" s="29" t="e">
        <f ca="1"/>
        <v>#REF!</v>
      </c>
      <c r="L305" s="29" t="e">
        <f ca="1"/>
        <v>#REF!</v>
      </c>
      <c r="M305" s="29" t="e">
        <f ca="1"/>
        <v>#REF!</v>
      </c>
      <c r="N305" s="29" t="e">
        <f ca="1"/>
        <v>#REF!</v>
      </c>
      <c r="O305" s="2" t="e">
        <f ca="1"/>
        <v>#N/A</v>
      </c>
      <c r="P305" s="2" t="e">
        <f ca="1"/>
        <v>#N/A</v>
      </c>
      <c r="Q305" s="2" t="s">
        <v>5</v>
      </c>
      <c r="R305" s="2" t="s">
        <v>5</v>
      </c>
      <c r="U305" s="2"/>
      <c r="V305" s="2" t="s">
        <v>5</v>
      </c>
      <c r="W305" s="2" t="s">
        <v>5</v>
      </c>
      <c r="X305" s="29" t="s">
        <v>5</v>
      </c>
      <c r="Y305" s="30" t="s">
        <v>5</v>
      </c>
      <c r="Z305" s="29" t="s">
        <v>5</v>
      </c>
      <c r="AA305" s="30" t="s">
        <v>5</v>
      </c>
      <c r="AB305" s="29" t="s">
        <v>5</v>
      </c>
      <c r="AC305" s="29" t="s">
        <v>5</v>
      </c>
      <c r="AD305" s="29" t="s">
        <v>5</v>
      </c>
      <c r="AE305" s="29" t="s">
        <v>5</v>
      </c>
      <c r="AF305" s="29" t="s">
        <v>5</v>
      </c>
      <c r="AG305" s="29" t="s">
        <v>5</v>
      </c>
      <c r="AH305" s="2" t="s">
        <v>5</v>
      </c>
      <c r="AI305" s="2" t="s">
        <v>5</v>
      </c>
      <c r="AJ305" s="2" t="s">
        <v>5</v>
      </c>
      <c r="AK305" s="2" t="s">
        <v>5</v>
      </c>
    </row>
    <row r="306" spans="2:37" ht="12.5">
      <c r="B306" s="2" t="str">
        <f ca="1">IFERROR(__xludf.DUMMYFUNCTION("""COMPUTED_VALUE"""),"南陽高")</f>
        <v>南陽高</v>
      </c>
      <c r="C306" s="2" t="e">
        <f ca="1"/>
        <v>#N/A</v>
      </c>
      <c r="D306" s="2" t="e">
        <f ca="1"/>
        <v>#REF!</v>
      </c>
      <c r="E306" s="29" t="e">
        <f ca="1"/>
        <v>#REF!</v>
      </c>
      <c r="F306" s="30" t="e">
        <f ca="1"/>
        <v>#REF!</v>
      </c>
      <c r="G306" s="29" t="e">
        <f ca="1"/>
        <v>#REF!</v>
      </c>
      <c r="H306" s="30" t="e">
        <f ca="1"/>
        <v>#REF!</v>
      </c>
      <c r="I306" s="29" t="e">
        <f ca="1"/>
        <v>#REF!</v>
      </c>
      <c r="J306" s="29" t="e">
        <f ca="1"/>
        <v>#REF!</v>
      </c>
      <c r="K306" s="29" t="e">
        <f ca="1"/>
        <v>#REF!</v>
      </c>
      <c r="L306" s="29" t="e">
        <f ca="1"/>
        <v>#REF!</v>
      </c>
      <c r="M306" s="29" t="e">
        <f ca="1"/>
        <v>#REF!</v>
      </c>
      <c r="N306" s="29" t="e">
        <f ca="1"/>
        <v>#REF!</v>
      </c>
      <c r="O306" s="2" t="e">
        <f ca="1"/>
        <v>#N/A</v>
      </c>
      <c r="P306" s="2" t="e">
        <f ca="1"/>
        <v>#N/A</v>
      </c>
      <c r="Q306" s="2" t="s">
        <v>5</v>
      </c>
      <c r="R306" s="2" t="s">
        <v>5</v>
      </c>
      <c r="U306" s="2"/>
      <c r="V306" s="2" t="s">
        <v>5</v>
      </c>
      <c r="W306" s="2" t="s">
        <v>5</v>
      </c>
      <c r="X306" s="29" t="s">
        <v>5</v>
      </c>
      <c r="Y306" s="30" t="s">
        <v>5</v>
      </c>
      <c r="Z306" s="29" t="s">
        <v>5</v>
      </c>
      <c r="AA306" s="30" t="s">
        <v>5</v>
      </c>
      <c r="AB306" s="29" t="s">
        <v>5</v>
      </c>
      <c r="AC306" s="29" t="s">
        <v>5</v>
      </c>
      <c r="AD306" s="29" t="s">
        <v>5</v>
      </c>
      <c r="AE306" s="29" t="s">
        <v>5</v>
      </c>
      <c r="AF306" s="29" t="s">
        <v>5</v>
      </c>
      <c r="AG306" s="29" t="s">
        <v>5</v>
      </c>
      <c r="AH306" s="2" t="s">
        <v>5</v>
      </c>
      <c r="AI306" s="2" t="s">
        <v>5</v>
      </c>
      <c r="AJ306" s="2" t="s">
        <v>5</v>
      </c>
      <c r="AK306" s="2" t="s">
        <v>5</v>
      </c>
    </row>
    <row r="307" spans="2:37" ht="12.5">
      <c r="B307" s="2" t="str">
        <f ca="1">IFERROR(__xludf.DUMMYFUNCTION("""COMPUTED_VALUE"""),"桜和高")</f>
        <v>桜和高</v>
      </c>
      <c r="C307" s="2" t="e">
        <f ca="1"/>
        <v>#N/A</v>
      </c>
      <c r="D307" s="2" t="e">
        <f ca="1"/>
        <v>#REF!</v>
      </c>
      <c r="E307" s="29" t="e">
        <f ca="1"/>
        <v>#REF!</v>
      </c>
      <c r="F307" s="30" t="e">
        <f ca="1"/>
        <v>#REF!</v>
      </c>
      <c r="G307" s="29" t="e">
        <f ca="1"/>
        <v>#REF!</v>
      </c>
      <c r="H307" s="30" t="e">
        <f ca="1"/>
        <v>#REF!</v>
      </c>
      <c r="I307" s="29" t="e">
        <f ca="1"/>
        <v>#REF!</v>
      </c>
      <c r="J307" s="29" t="e">
        <f ca="1"/>
        <v>#REF!</v>
      </c>
      <c r="K307" s="29" t="e">
        <f ca="1"/>
        <v>#REF!</v>
      </c>
      <c r="L307" s="29" t="e">
        <f ca="1"/>
        <v>#REF!</v>
      </c>
      <c r="M307" s="29" t="e">
        <f ca="1"/>
        <v>#REF!</v>
      </c>
      <c r="N307" s="29" t="e">
        <f ca="1"/>
        <v>#REF!</v>
      </c>
      <c r="O307" s="2" t="e">
        <f ca="1"/>
        <v>#N/A</v>
      </c>
      <c r="P307" s="2" t="e">
        <f ca="1"/>
        <v>#N/A</v>
      </c>
      <c r="Q307" s="2" t="s">
        <v>5</v>
      </c>
      <c r="R307" s="2" t="s">
        <v>5</v>
      </c>
      <c r="U307" s="2"/>
      <c r="V307" s="2" t="s">
        <v>5</v>
      </c>
      <c r="W307" s="2" t="s">
        <v>5</v>
      </c>
      <c r="X307" s="29" t="s">
        <v>5</v>
      </c>
      <c r="Y307" s="30" t="s">
        <v>5</v>
      </c>
      <c r="Z307" s="29" t="s">
        <v>5</v>
      </c>
      <c r="AA307" s="30" t="s">
        <v>5</v>
      </c>
      <c r="AB307" s="29" t="s">
        <v>5</v>
      </c>
      <c r="AC307" s="29" t="s">
        <v>5</v>
      </c>
      <c r="AD307" s="29" t="s">
        <v>5</v>
      </c>
      <c r="AE307" s="29" t="s">
        <v>5</v>
      </c>
      <c r="AF307" s="29" t="s">
        <v>5</v>
      </c>
      <c r="AG307" s="29" t="s">
        <v>5</v>
      </c>
      <c r="AH307" s="2" t="s">
        <v>5</v>
      </c>
      <c r="AI307" s="2" t="s">
        <v>5</v>
      </c>
      <c r="AJ307" s="2" t="s">
        <v>5</v>
      </c>
      <c r="AK307" s="2" t="s">
        <v>5</v>
      </c>
    </row>
    <row r="308" spans="2:37" ht="12.5">
      <c r="B308" s="2" t="str">
        <f ca="1">IFERROR(__xludf.DUMMYFUNCTION("""COMPUTED_VALUE"""),"石見智翠館高")</f>
        <v>石見智翠館高</v>
      </c>
      <c r="C308" s="2" t="e">
        <f ca="1"/>
        <v>#N/A</v>
      </c>
      <c r="D308" s="2" t="e">
        <f ca="1"/>
        <v>#REF!</v>
      </c>
      <c r="E308" s="29" t="e">
        <f ca="1"/>
        <v>#REF!</v>
      </c>
      <c r="F308" s="30" t="e">
        <f ca="1"/>
        <v>#REF!</v>
      </c>
      <c r="G308" s="29" t="e">
        <f ca="1"/>
        <v>#REF!</v>
      </c>
      <c r="H308" s="30" t="e">
        <f ca="1"/>
        <v>#REF!</v>
      </c>
      <c r="I308" s="29" t="e">
        <f ca="1"/>
        <v>#REF!</v>
      </c>
      <c r="J308" s="29" t="e">
        <f ca="1"/>
        <v>#REF!</v>
      </c>
      <c r="K308" s="29" t="e">
        <f ca="1"/>
        <v>#REF!</v>
      </c>
      <c r="L308" s="29" t="e">
        <f ca="1"/>
        <v>#REF!</v>
      </c>
      <c r="M308" s="29" t="e">
        <f ca="1"/>
        <v>#REF!</v>
      </c>
      <c r="N308" s="29" t="e">
        <f ca="1"/>
        <v>#REF!</v>
      </c>
      <c r="O308" s="2" t="e">
        <f ca="1"/>
        <v>#N/A</v>
      </c>
      <c r="P308" s="2" t="e">
        <f ca="1"/>
        <v>#N/A</v>
      </c>
      <c r="Q308" s="2" t="s">
        <v>5</v>
      </c>
      <c r="R308" s="2" t="s">
        <v>5</v>
      </c>
      <c r="U308" s="2"/>
      <c r="V308" s="2" t="s">
        <v>5</v>
      </c>
      <c r="W308" s="2" t="s">
        <v>5</v>
      </c>
      <c r="X308" s="29" t="s">
        <v>5</v>
      </c>
      <c r="Y308" s="30" t="s">
        <v>5</v>
      </c>
      <c r="Z308" s="29" t="s">
        <v>5</v>
      </c>
      <c r="AA308" s="30" t="s">
        <v>5</v>
      </c>
      <c r="AB308" s="29" t="s">
        <v>5</v>
      </c>
      <c r="AC308" s="29" t="s">
        <v>5</v>
      </c>
      <c r="AD308" s="29" t="s">
        <v>5</v>
      </c>
      <c r="AE308" s="29" t="s">
        <v>5</v>
      </c>
      <c r="AF308" s="29" t="s">
        <v>5</v>
      </c>
      <c r="AG308" s="29" t="s">
        <v>5</v>
      </c>
      <c r="AH308" s="2" t="s">
        <v>5</v>
      </c>
      <c r="AI308" s="2" t="s">
        <v>5</v>
      </c>
      <c r="AJ308" s="2" t="s">
        <v>5</v>
      </c>
      <c r="AK308" s="2" t="s">
        <v>5</v>
      </c>
    </row>
    <row r="309" spans="2:37" ht="12.5">
      <c r="B309" s="2" t="str">
        <f ca="1">IFERROR(__xludf.DUMMYFUNCTION("""COMPUTED_VALUE"""),"倉敷天城高")</f>
        <v>倉敷天城高</v>
      </c>
      <c r="C309" s="2" t="e">
        <f ca="1"/>
        <v>#N/A</v>
      </c>
      <c r="D309" s="2" t="e">
        <f ca="1"/>
        <v>#REF!</v>
      </c>
      <c r="E309" s="29" t="e">
        <f ca="1"/>
        <v>#REF!</v>
      </c>
      <c r="F309" s="30" t="e">
        <f ca="1"/>
        <v>#REF!</v>
      </c>
      <c r="G309" s="29" t="e">
        <f ca="1"/>
        <v>#REF!</v>
      </c>
      <c r="H309" s="30" t="e">
        <f ca="1"/>
        <v>#REF!</v>
      </c>
      <c r="I309" s="29" t="e">
        <f ca="1"/>
        <v>#REF!</v>
      </c>
      <c r="J309" s="29" t="e">
        <f ca="1"/>
        <v>#REF!</v>
      </c>
      <c r="K309" s="29" t="e">
        <f ca="1"/>
        <v>#REF!</v>
      </c>
      <c r="L309" s="29" t="e">
        <f ca="1"/>
        <v>#REF!</v>
      </c>
      <c r="M309" s="29" t="e">
        <f ca="1"/>
        <v>#REF!</v>
      </c>
      <c r="N309" s="29" t="e">
        <f ca="1"/>
        <v>#REF!</v>
      </c>
      <c r="O309" s="2" t="e">
        <f ca="1"/>
        <v>#N/A</v>
      </c>
      <c r="P309" s="2" t="e">
        <f ca="1"/>
        <v>#N/A</v>
      </c>
      <c r="Q309" s="2" t="s">
        <v>5</v>
      </c>
      <c r="R309" s="2" t="s">
        <v>5</v>
      </c>
      <c r="U309" s="2"/>
      <c r="V309" s="2" t="s">
        <v>5</v>
      </c>
      <c r="W309" s="2" t="s">
        <v>5</v>
      </c>
      <c r="X309" s="29" t="s">
        <v>5</v>
      </c>
      <c r="Y309" s="30" t="s">
        <v>5</v>
      </c>
      <c r="Z309" s="29" t="s">
        <v>5</v>
      </c>
      <c r="AA309" s="30" t="s">
        <v>5</v>
      </c>
      <c r="AB309" s="29" t="s">
        <v>5</v>
      </c>
      <c r="AC309" s="29" t="s">
        <v>5</v>
      </c>
      <c r="AD309" s="29" t="s">
        <v>5</v>
      </c>
      <c r="AE309" s="29" t="s">
        <v>5</v>
      </c>
      <c r="AF309" s="29" t="s">
        <v>5</v>
      </c>
      <c r="AG309" s="29" t="s">
        <v>5</v>
      </c>
      <c r="AH309" s="2" t="s">
        <v>5</v>
      </c>
      <c r="AI309" s="2" t="s">
        <v>5</v>
      </c>
      <c r="AJ309" s="2" t="s">
        <v>5</v>
      </c>
      <c r="AK309" s="2" t="s">
        <v>5</v>
      </c>
    </row>
    <row r="310" spans="2:37" ht="12.5">
      <c r="B310" s="2" t="str">
        <f ca="1">IFERROR(__xludf.DUMMYFUNCTION("""COMPUTED_VALUE"""),"遺愛女子高")</f>
        <v>遺愛女子高</v>
      </c>
      <c r="C310" s="2" t="e">
        <f ca="1"/>
        <v>#N/A</v>
      </c>
      <c r="D310" s="2" t="e">
        <f ca="1"/>
        <v>#REF!</v>
      </c>
      <c r="E310" s="29" t="e">
        <f ca="1"/>
        <v>#REF!</v>
      </c>
      <c r="F310" s="30" t="e">
        <f ca="1"/>
        <v>#REF!</v>
      </c>
      <c r="G310" s="29" t="e">
        <f ca="1"/>
        <v>#REF!</v>
      </c>
      <c r="H310" s="30" t="e">
        <f ca="1"/>
        <v>#REF!</v>
      </c>
      <c r="I310" s="29" t="e">
        <f ca="1"/>
        <v>#REF!</v>
      </c>
      <c r="J310" s="29" t="e">
        <f ca="1"/>
        <v>#REF!</v>
      </c>
      <c r="K310" s="29" t="e">
        <f ca="1"/>
        <v>#REF!</v>
      </c>
      <c r="L310" s="29" t="e">
        <f ca="1"/>
        <v>#REF!</v>
      </c>
      <c r="M310" s="29" t="e">
        <f ca="1"/>
        <v>#REF!</v>
      </c>
      <c r="N310" s="29" t="e">
        <f ca="1"/>
        <v>#REF!</v>
      </c>
      <c r="O310" s="2" t="e">
        <f ca="1"/>
        <v>#N/A</v>
      </c>
      <c r="P310" s="2" t="e">
        <f ca="1"/>
        <v>#N/A</v>
      </c>
      <c r="Q310" s="2" t="s">
        <v>5</v>
      </c>
      <c r="R310" s="2" t="s">
        <v>5</v>
      </c>
      <c r="U310" s="2"/>
      <c r="V310" s="2" t="s">
        <v>5</v>
      </c>
      <c r="W310" s="2" t="s">
        <v>5</v>
      </c>
      <c r="X310" s="29" t="s">
        <v>5</v>
      </c>
      <c r="Y310" s="30" t="s">
        <v>5</v>
      </c>
      <c r="Z310" s="29" t="s">
        <v>5</v>
      </c>
      <c r="AA310" s="30" t="s">
        <v>5</v>
      </c>
      <c r="AB310" s="29" t="s">
        <v>5</v>
      </c>
      <c r="AC310" s="29" t="s">
        <v>5</v>
      </c>
      <c r="AD310" s="29" t="s">
        <v>5</v>
      </c>
      <c r="AE310" s="29" t="s">
        <v>5</v>
      </c>
      <c r="AF310" s="29" t="s">
        <v>5</v>
      </c>
      <c r="AG310" s="29" t="s">
        <v>5</v>
      </c>
      <c r="AH310" s="2" t="s">
        <v>5</v>
      </c>
      <c r="AI310" s="2" t="s">
        <v>5</v>
      </c>
      <c r="AJ310" s="2" t="s">
        <v>5</v>
      </c>
      <c r="AK310" s="2" t="s">
        <v>5</v>
      </c>
    </row>
    <row r="311" spans="2:37" ht="12.5">
      <c r="B311" s="2" t="str">
        <f ca="1">IFERROR(__xludf.DUMMYFUNCTION("""COMPUTED_VALUE"""),"玉名女子高")</f>
        <v>玉名女子高</v>
      </c>
      <c r="C311" s="2" t="e">
        <f ca="1"/>
        <v>#N/A</v>
      </c>
      <c r="D311" s="2" t="e">
        <f ca="1"/>
        <v>#REF!</v>
      </c>
      <c r="E311" s="29" t="e">
        <f ca="1"/>
        <v>#REF!</v>
      </c>
      <c r="F311" s="30" t="e">
        <f ca="1"/>
        <v>#REF!</v>
      </c>
      <c r="G311" s="29" t="e">
        <f ca="1"/>
        <v>#REF!</v>
      </c>
      <c r="H311" s="30" t="e">
        <f ca="1"/>
        <v>#REF!</v>
      </c>
      <c r="I311" s="29" t="e">
        <f ca="1"/>
        <v>#REF!</v>
      </c>
      <c r="J311" s="29" t="e">
        <f ca="1"/>
        <v>#REF!</v>
      </c>
      <c r="K311" s="29" t="e">
        <f ca="1"/>
        <v>#REF!</v>
      </c>
      <c r="L311" s="29" t="e">
        <f ca="1"/>
        <v>#REF!</v>
      </c>
      <c r="M311" s="29" t="e">
        <f ca="1"/>
        <v>#REF!</v>
      </c>
      <c r="N311" s="29" t="e">
        <f ca="1"/>
        <v>#REF!</v>
      </c>
      <c r="O311" s="2" t="e">
        <f ca="1"/>
        <v>#N/A</v>
      </c>
      <c r="P311" s="2" t="e">
        <f ca="1"/>
        <v>#N/A</v>
      </c>
      <c r="Q311" s="2" t="s">
        <v>5</v>
      </c>
      <c r="R311" s="2" t="s">
        <v>5</v>
      </c>
      <c r="U311" s="2"/>
      <c r="V311" s="2" t="s">
        <v>5</v>
      </c>
      <c r="W311" s="2" t="s">
        <v>5</v>
      </c>
      <c r="X311" s="29" t="s">
        <v>5</v>
      </c>
      <c r="Y311" s="30" t="s">
        <v>5</v>
      </c>
      <c r="Z311" s="29" t="s">
        <v>5</v>
      </c>
      <c r="AA311" s="30" t="s">
        <v>5</v>
      </c>
      <c r="AB311" s="29" t="s">
        <v>5</v>
      </c>
      <c r="AC311" s="29" t="s">
        <v>5</v>
      </c>
      <c r="AD311" s="29" t="s">
        <v>5</v>
      </c>
      <c r="AE311" s="29" t="s">
        <v>5</v>
      </c>
      <c r="AF311" s="29" t="s">
        <v>5</v>
      </c>
      <c r="AG311" s="29" t="s">
        <v>5</v>
      </c>
      <c r="AH311" s="2" t="s">
        <v>5</v>
      </c>
      <c r="AI311" s="2" t="s">
        <v>5</v>
      </c>
      <c r="AJ311" s="2" t="s">
        <v>5</v>
      </c>
      <c r="AK311" s="2" t="s">
        <v>5</v>
      </c>
    </row>
    <row r="312" spans="2:37" ht="12.5">
      <c r="B312" s="2" t="str">
        <f ca="1">IFERROR(__xludf.DUMMYFUNCTION("""COMPUTED_VALUE"""),"球陽高")</f>
        <v>球陽高</v>
      </c>
      <c r="C312" s="2" t="e">
        <f ca="1"/>
        <v>#N/A</v>
      </c>
      <c r="D312" s="2" t="e">
        <f ca="1"/>
        <v>#REF!</v>
      </c>
      <c r="E312" s="29" t="e">
        <f ca="1"/>
        <v>#REF!</v>
      </c>
      <c r="F312" s="30" t="e">
        <f ca="1"/>
        <v>#REF!</v>
      </c>
      <c r="G312" s="29" t="e">
        <f ca="1"/>
        <v>#REF!</v>
      </c>
      <c r="H312" s="30" t="e">
        <f ca="1"/>
        <v>#REF!</v>
      </c>
      <c r="I312" s="29" t="e">
        <f ca="1"/>
        <v>#REF!</v>
      </c>
      <c r="J312" s="29" t="e">
        <f ca="1"/>
        <v>#REF!</v>
      </c>
      <c r="K312" s="29" t="e">
        <f ca="1"/>
        <v>#REF!</v>
      </c>
      <c r="L312" s="29" t="e">
        <f ca="1"/>
        <v>#REF!</v>
      </c>
      <c r="M312" s="29" t="e">
        <f ca="1"/>
        <v>#REF!</v>
      </c>
      <c r="N312" s="29" t="e">
        <f ca="1"/>
        <v>#REF!</v>
      </c>
      <c r="O312" s="2" t="e">
        <f ca="1"/>
        <v>#N/A</v>
      </c>
      <c r="P312" s="2" t="e">
        <f ca="1"/>
        <v>#N/A</v>
      </c>
      <c r="Q312" s="2" t="s">
        <v>5</v>
      </c>
      <c r="R312" s="2" t="s">
        <v>5</v>
      </c>
      <c r="U312" s="2"/>
      <c r="V312" s="2" t="s">
        <v>5</v>
      </c>
      <c r="W312" s="2" t="s">
        <v>5</v>
      </c>
      <c r="X312" s="29" t="s">
        <v>5</v>
      </c>
      <c r="Y312" s="30" t="s">
        <v>5</v>
      </c>
      <c r="Z312" s="29" t="s">
        <v>5</v>
      </c>
      <c r="AA312" s="30" t="s">
        <v>5</v>
      </c>
      <c r="AB312" s="29" t="s">
        <v>5</v>
      </c>
      <c r="AC312" s="29" t="s">
        <v>5</v>
      </c>
      <c r="AD312" s="29" t="s">
        <v>5</v>
      </c>
      <c r="AE312" s="29" t="s">
        <v>5</v>
      </c>
      <c r="AF312" s="29" t="s">
        <v>5</v>
      </c>
      <c r="AG312" s="29" t="s">
        <v>5</v>
      </c>
      <c r="AH312" s="2" t="s">
        <v>5</v>
      </c>
      <c r="AI312" s="2" t="s">
        <v>5</v>
      </c>
      <c r="AJ312" s="2" t="s">
        <v>5</v>
      </c>
      <c r="AK312" s="2" t="s">
        <v>5</v>
      </c>
    </row>
    <row r="313" spans="2:37" ht="12.5">
      <c r="B313" s="2" t="str">
        <f ca="1">IFERROR(__xludf.DUMMYFUNCTION("""COMPUTED_VALUE"""),"追手門学院大手前")</f>
        <v>追手門学院大手前</v>
      </c>
      <c r="C313" s="2" t="e">
        <f ca="1"/>
        <v>#N/A</v>
      </c>
      <c r="D313" s="2" t="e">
        <f ca="1"/>
        <v>#REF!</v>
      </c>
      <c r="E313" s="29" t="e">
        <f ca="1"/>
        <v>#REF!</v>
      </c>
      <c r="F313" s="30" t="e">
        <f ca="1"/>
        <v>#REF!</v>
      </c>
      <c r="G313" s="29" t="e">
        <f ca="1"/>
        <v>#REF!</v>
      </c>
      <c r="H313" s="30" t="e">
        <f ca="1"/>
        <v>#REF!</v>
      </c>
      <c r="I313" s="29" t="e">
        <f ca="1"/>
        <v>#REF!</v>
      </c>
      <c r="J313" s="29" t="e">
        <f ca="1"/>
        <v>#REF!</v>
      </c>
      <c r="K313" s="29" t="e">
        <f ca="1"/>
        <v>#REF!</v>
      </c>
      <c r="L313" s="29" t="e">
        <f ca="1"/>
        <v>#REF!</v>
      </c>
      <c r="M313" s="29" t="e">
        <f ca="1"/>
        <v>#REF!</v>
      </c>
      <c r="N313" s="29" t="e">
        <f ca="1"/>
        <v>#REF!</v>
      </c>
      <c r="O313" s="2" t="e">
        <f ca="1"/>
        <v>#N/A</v>
      </c>
      <c r="P313" s="2" t="e">
        <f ca="1"/>
        <v>#N/A</v>
      </c>
      <c r="Q313" s="2" t="s">
        <v>5</v>
      </c>
      <c r="R313" s="2" t="s">
        <v>5</v>
      </c>
      <c r="U313" s="2"/>
      <c r="V313" s="2" t="s">
        <v>5</v>
      </c>
      <c r="W313" s="2" t="s">
        <v>5</v>
      </c>
      <c r="X313" s="29" t="s">
        <v>5</v>
      </c>
      <c r="Y313" s="30" t="s">
        <v>5</v>
      </c>
      <c r="Z313" s="29" t="s">
        <v>5</v>
      </c>
      <c r="AA313" s="30" t="s">
        <v>5</v>
      </c>
      <c r="AB313" s="29" t="s">
        <v>5</v>
      </c>
      <c r="AC313" s="29" t="s">
        <v>5</v>
      </c>
      <c r="AD313" s="29" t="s">
        <v>5</v>
      </c>
      <c r="AE313" s="29" t="s">
        <v>5</v>
      </c>
      <c r="AF313" s="29" t="s">
        <v>5</v>
      </c>
      <c r="AG313" s="29" t="s">
        <v>5</v>
      </c>
      <c r="AH313" s="2" t="s">
        <v>5</v>
      </c>
      <c r="AI313" s="2" t="s">
        <v>5</v>
      </c>
      <c r="AJ313" s="2" t="s">
        <v>5</v>
      </c>
      <c r="AK313" s="2" t="s">
        <v>5</v>
      </c>
    </row>
    <row r="314" spans="2:37" ht="12.5">
      <c r="B314" s="2" t="str">
        <f ca="1">IFERROR(__xludf.DUMMYFUNCTION("""COMPUTED_VALUE"""),"拓殖大第一高")</f>
        <v>拓殖大第一高</v>
      </c>
      <c r="C314" s="2" t="e">
        <f ca="1"/>
        <v>#N/A</v>
      </c>
      <c r="D314" s="2" t="e">
        <f ca="1"/>
        <v>#REF!</v>
      </c>
      <c r="E314" s="29" t="e">
        <f ca="1"/>
        <v>#REF!</v>
      </c>
      <c r="F314" s="30" t="e">
        <f ca="1"/>
        <v>#REF!</v>
      </c>
      <c r="G314" s="29" t="e">
        <f ca="1"/>
        <v>#REF!</v>
      </c>
      <c r="H314" s="30" t="e">
        <f ca="1"/>
        <v>#REF!</v>
      </c>
      <c r="I314" s="29" t="e">
        <f ca="1"/>
        <v>#REF!</v>
      </c>
      <c r="J314" s="29" t="e">
        <f ca="1"/>
        <v>#REF!</v>
      </c>
      <c r="K314" s="29" t="e">
        <f ca="1"/>
        <v>#REF!</v>
      </c>
      <c r="L314" s="29" t="e">
        <f ca="1"/>
        <v>#REF!</v>
      </c>
      <c r="M314" s="29" t="e">
        <f ca="1"/>
        <v>#REF!</v>
      </c>
      <c r="N314" s="29" t="e">
        <f ca="1"/>
        <v>#REF!</v>
      </c>
      <c r="O314" s="2" t="e">
        <f ca="1"/>
        <v>#N/A</v>
      </c>
      <c r="P314" s="2" t="e">
        <f ca="1"/>
        <v>#N/A</v>
      </c>
      <c r="Q314" s="2" t="s">
        <v>5</v>
      </c>
      <c r="R314" s="2" t="s">
        <v>5</v>
      </c>
      <c r="U314" s="2"/>
      <c r="V314" s="2" t="s">
        <v>5</v>
      </c>
      <c r="W314" s="2" t="s">
        <v>5</v>
      </c>
      <c r="X314" s="29" t="s">
        <v>5</v>
      </c>
      <c r="Y314" s="30" t="s">
        <v>5</v>
      </c>
      <c r="Z314" s="29" t="s">
        <v>5</v>
      </c>
      <c r="AA314" s="30" t="s">
        <v>5</v>
      </c>
      <c r="AB314" s="29" t="s">
        <v>5</v>
      </c>
      <c r="AC314" s="29" t="s">
        <v>5</v>
      </c>
      <c r="AD314" s="29" t="s">
        <v>5</v>
      </c>
      <c r="AE314" s="29" t="s">
        <v>5</v>
      </c>
      <c r="AF314" s="29" t="s">
        <v>5</v>
      </c>
      <c r="AG314" s="29" t="s">
        <v>5</v>
      </c>
      <c r="AH314" s="2" t="s">
        <v>5</v>
      </c>
      <c r="AI314" s="2" t="s">
        <v>5</v>
      </c>
      <c r="AJ314" s="2" t="s">
        <v>5</v>
      </c>
      <c r="AK314" s="2" t="s">
        <v>5</v>
      </c>
    </row>
    <row r="315" spans="2:37" ht="12.5">
      <c r="B315" s="2" t="str">
        <f ca="1">IFERROR(__xludf.DUMMYFUNCTION("""COMPUTED_VALUE"""),"Ｓ高")</f>
        <v>Ｓ高</v>
      </c>
      <c r="C315" s="2" t="e">
        <f ca="1"/>
        <v>#N/A</v>
      </c>
      <c r="D315" s="2" t="e">
        <f ca="1"/>
        <v>#REF!</v>
      </c>
      <c r="E315" s="29" t="e">
        <f ca="1"/>
        <v>#REF!</v>
      </c>
      <c r="F315" s="30" t="e">
        <f ca="1"/>
        <v>#REF!</v>
      </c>
      <c r="G315" s="29" t="e">
        <f ca="1"/>
        <v>#REF!</v>
      </c>
      <c r="H315" s="30" t="e">
        <f ca="1"/>
        <v>#REF!</v>
      </c>
      <c r="I315" s="29" t="e">
        <f ca="1"/>
        <v>#REF!</v>
      </c>
      <c r="J315" s="29" t="e">
        <f ca="1"/>
        <v>#REF!</v>
      </c>
      <c r="K315" s="29" t="e">
        <f ca="1"/>
        <v>#REF!</v>
      </c>
      <c r="L315" s="29" t="e">
        <f ca="1"/>
        <v>#REF!</v>
      </c>
      <c r="M315" s="29" t="e">
        <f ca="1"/>
        <v>#REF!</v>
      </c>
      <c r="N315" s="29" t="e">
        <f ca="1"/>
        <v>#REF!</v>
      </c>
      <c r="O315" s="2" t="e">
        <f ca="1"/>
        <v>#N/A</v>
      </c>
      <c r="P315" s="2" t="e">
        <f ca="1"/>
        <v>#N/A</v>
      </c>
      <c r="Q315" s="2" t="s">
        <v>5</v>
      </c>
      <c r="R315" s="2" t="s">
        <v>5</v>
      </c>
      <c r="U315" s="2"/>
      <c r="V315" s="2" t="s">
        <v>5</v>
      </c>
      <c r="W315" s="2" t="s">
        <v>5</v>
      </c>
      <c r="X315" s="29" t="s">
        <v>5</v>
      </c>
      <c r="Y315" s="30" t="s">
        <v>5</v>
      </c>
      <c r="Z315" s="29" t="s">
        <v>5</v>
      </c>
      <c r="AA315" s="30" t="s">
        <v>5</v>
      </c>
      <c r="AB315" s="29" t="s">
        <v>5</v>
      </c>
      <c r="AC315" s="29" t="s">
        <v>5</v>
      </c>
      <c r="AD315" s="29" t="s">
        <v>5</v>
      </c>
      <c r="AE315" s="29" t="s">
        <v>5</v>
      </c>
      <c r="AF315" s="29" t="s">
        <v>5</v>
      </c>
      <c r="AG315" s="29" t="s">
        <v>5</v>
      </c>
      <c r="AH315" s="2" t="s">
        <v>5</v>
      </c>
      <c r="AI315" s="2" t="s">
        <v>5</v>
      </c>
      <c r="AJ315" s="2" t="s">
        <v>5</v>
      </c>
      <c r="AK315" s="2" t="s">
        <v>5</v>
      </c>
    </row>
    <row r="316" spans="2:37" ht="12.5">
      <c r="B316" s="2" t="str">
        <f ca="1">IFERROR(__xludf.DUMMYFUNCTION("""COMPUTED_VALUE"""),"岸和田高")</f>
        <v>岸和田高</v>
      </c>
      <c r="C316" s="2" t="e">
        <f ca="1"/>
        <v>#N/A</v>
      </c>
      <c r="D316" s="2" t="e">
        <f ca="1"/>
        <v>#REF!</v>
      </c>
      <c r="E316" s="29" t="e">
        <f ca="1"/>
        <v>#REF!</v>
      </c>
      <c r="F316" s="30" t="e">
        <f ca="1"/>
        <v>#REF!</v>
      </c>
      <c r="G316" s="29" t="e">
        <f ca="1"/>
        <v>#REF!</v>
      </c>
      <c r="H316" s="30" t="e">
        <f ca="1"/>
        <v>#REF!</v>
      </c>
      <c r="I316" s="29" t="e">
        <f ca="1"/>
        <v>#REF!</v>
      </c>
      <c r="J316" s="29" t="e">
        <f ca="1"/>
        <v>#REF!</v>
      </c>
      <c r="K316" s="29" t="e">
        <f ca="1"/>
        <v>#REF!</v>
      </c>
      <c r="L316" s="29" t="e">
        <f ca="1"/>
        <v>#REF!</v>
      </c>
      <c r="M316" s="29" t="e">
        <f ca="1"/>
        <v>#REF!</v>
      </c>
      <c r="N316" s="29" t="e">
        <f ca="1"/>
        <v>#REF!</v>
      </c>
      <c r="O316" s="2" t="e">
        <f ca="1"/>
        <v>#N/A</v>
      </c>
      <c r="P316" s="2" t="e">
        <f ca="1"/>
        <v>#N/A</v>
      </c>
      <c r="Q316" s="2" t="s">
        <v>5</v>
      </c>
      <c r="R316" s="2" t="s">
        <v>5</v>
      </c>
      <c r="U316" s="2"/>
      <c r="V316" s="2" t="s">
        <v>5</v>
      </c>
      <c r="W316" s="2" t="s">
        <v>5</v>
      </c>
      <c r="X316" s="29" t="s">
        <v>5</v>
      </c>
      <c r="Y316" s="30" t="s">
        <v>5</v>
      </c>
      <c r="Z316" s="29" t="s">
        <v>5</v>
      </c>
      <c r="AA316" s="30" t="s">
        <v>5</v>
      </c>
      <c r="AB316" s="29" t="s">
        <v>5</v>
      </c>
      <c r="AC316" s="29" t="s">
        <v>5</v>
      </c>
      <c r="AD316" s="29" t="s">
        <v>5</v>
      </c>
      <c r="AE316" s="29" t="s">
        <v>5</v>
      </c>
      <c r="AF316" s="29" t="s">
        <v>5</v>
      </c>
      <c r="AG316" s="29" t="s">
        <v>5</v>
      </c>
      <c r="AH316" s="2" t="s">
        <v>5</v>
      </c>
      <c r="AI316" s="2" t="s">
        <v>5</v>
      </c>
      <c r="AJ316" s="2" t="s">
        <v>5</v>
      </c>
      <c r="AK316" s="2" t="s">
        <v>5</v>
      </c>
    </row>
    <row r="317" spans="2:37" ht="12.5">
      <c r="B317" s="2" t="str">
        <f ca="1">IFERROR(__xludf.DUMMYFUNCTION("""COMPUTED_VALUE"""),"帝塚山学院高")</f>
        <v>帝塚山学院高</v>
      </c>
      <c r="C317" s="2" t="e">
        <f ca="1"/>
        <v>#N/A</v>
      </c>
      <c r="D317" s="2" t="e">
        <f ca="1"/>
        <v>#REF!</v>
      </c>
      <c r="E317" s="29" t="e">
        <f ca="1"/>
        <v>#REF!</v>
      </c>
      <c r="F317" s="30" t="e">
        <f ca="1"/>
        <v>#REF!</v>
      </c>
      <c r="G317" s="29" t="e">
        <f ca="1"/>
        <v>#REF!</v>
      </c>
      <c r="H317" s="30" t="e">
        <f ca="1"/>
        <v>#REF!</v>
      </c>
      <c r="I317" s="29" t="e">
        <f ca="1"/>
        <v>#REF!</v>
      </c>
      <c r="J317" s="29" t="e">
        <f ca="1"/>
        <v>#REF!</v>
      </c>
      <c r="K317" s="29" t="e">
        <f ca="1"/>
        <v>#REF!</v>
      </c>
      <c r="L317" s="29" t="e">
        <f ca="1"/>
        <v>#REF!</v>
      </c>
      <c r="M317" s="29" t="e">
        <f ca="1"/>
        <v>#REF!</v>
      </c>
      <c r="N317" s="29" t="e">
        <f ca="1"/>
        <v>#REF!</v>
      </c>
      <c r="O317" s="2" t="e">
        <f ca="1"/>
        <v>#N/A</v>
      </c>
      <c r="P317" s="2" t="e">
        <f ca="1"/>
        <v>#N/A</v>
      </c>
      <c r="Q317" s="2" t="s">
        <v>5</v>
      </c>
      <c r="R317" s="2" t="s">
        <v>5</v>
      </c>
      <c r="U317" s="2"/>
      <c r="V317" s="2" t="s">
        <v>5</v>
      </c>
      <c r="W317" s="2" t="s">
        <v>5</v>
      </c>
      <c r="X317" s="29" t="s">
        <v>5</v>
      </c>
      <c r="Y317" s="30" t="s">
        <v>5</v>
      </c>
      <c r="Z317" s="29" t="s">
        <v>5</v>
      </c>
      <c r="AA317" s="30" t="s">
        <v>5</v>
      </c>
      <c r="AB317" s="29" t="s">
        <v>5</v>
      </c>
      <c r="AC317" s="29" t="s">
        <v>5</v>
      </c>
      <c r="AD317" s="29" t="s">
        <v>5</v>
      </c>
      <c r="AE317" s="29" t="s">
        <v>5</v>
      </c>
      <c r="AF317" s="29" t="s">
        <v>5</v>
      </c>
      <c r="AG317" s="29" t="s">
        <v>5</v>
      </c>
      <c r="AH317" s="2" t="s">
        <v>5</v>
      </c>
      <c r="AI317" s="2" t="s">
        <v>5</v>
      </c>
      <c r="AJ317" s="2" t="s">
        <v>5</v>
      </c>
      <c r="AK317" s="2" t="s">
        <v>5</v>
      </c>
    </row>
    <row r="318" spans="2:37" ht="12.5">
      <c r="B318" s="2" t="str">
        <f ca="1">IFERROR(__xludf.DUMMYFUNCTION("""COMPUTED_VALUE"""),"鹿島朝日高")</f>
        <v>鹿島朝日高</v>
      </c>
      <c r="C318" s="2" t="e">
        <f ca="1"/>
        <v>#N/A</v>
      </c>
      <c r="D318" s="2" t="e">
        <f ca="1"/>
        <v>#REF!</v>
      </c>
      <c r="E318" s="29" t="e">
        <f ca="1"/>
        <v>#REF!</v>
      </c>
      <c r="F318" s="30" t="e">
        <f ca="1"/>
        <v>#REF!</v>
      </c>
      <c r="G318" s="29" t="e">
        <f ca="1"/>
        <v>#REF!</v>
      </c>
      <c r="H318" s="30" t="e">
        <f ca="1"/>
        <v>#REF!</v>
      </c>
      <c r="I318" s="29" t="e">
        <f ca="1"/>
        <v>#REF!</v>
      </c>
      <c r="J318" s="29" t="e">
        <f ca="1"/>
        <v>#REF!</v>
      </c>
      <c r="K318" s="29" t="e">
        <f ca="1"/>
        <v>#REF!</v>
      </c>
      <c r="L318" s="29" t="e">
        <f ca="1"/>
        <v>#REF!</v>
      </c>
      <c r="M318" s="29" t="e">
        <f ca="1"/>
        <v>#REF!</v>
      </c>
      <c r="N318" s="29" t="e">
        <f ca="1"/>
        <v>#REF!</v>
      </c>
      <c r="O318" s="2" t="e">
        <f ca="1"/>
        <v>#N/A</v>
      </c>
      <c r="P318" s="2" t="e">
        <f ca="1"/>
        <v>#N/A</v>
      </c>
      <c r="Q318" s="2" t="s">
        <v>5</v>
      </c>
      <c r="R318" s="2" t="s">
        <v>5</v>
      </c>
      <c r="U318" s="2"/>
      <c r="V318" s="2" t="s">
        <v>5</v>
      </c>
      <c r="W318" s="2" t="s">
        <v>5</v>
      </c>
      <c r="X318" s="29" t="s">
        <v>5</v>
      </c>
      <c r="Y318" s="30" t="s">
        <v>5</v>
      </c>
      <c r="Z318" s="29" t="s">
        <v>5</v>
      </c>
      <c r="AA318" s="30" t="s">
        <v>5</v>
      </c>
      <c r="AB318" s="29" t="s">
        <v>5</v>
      </c>
      <c r="AC318" s="29" t="s">
        <v>5</v>
      </c>
      <c r="AD318" s="29" t="s">
        <v>5</v>
      </c>
      <c r="AE318" s="29" t="s">
        <v>5</v>
      </c>
      <c r="AF318" s="29" t="s">
        <v>5</v>
      </c>
      <c r="AG318" s="29" t="s">
        <v>5</v>
      </c>
      <c r="AH318" s="2" t="s">
        <v>5</v>
      </c>
      <c r="AI318" s="2" t="s">
        <v>5</v>
      </c>
      <c r="AJ318" s="2" t="s">
        <v>5</v>
      </c>
      <c r="AK318" s="2" t="s">
        <v>5</v>
      </c>
    </row>
    <row r="319" spans="2:37" ht="12.5">
      <c r="B319" s="2" t="str">
        <f ca="1">IFERROR(__xludf.DUMMYFUNCTION("""COMPUTED_VALUE"""),"青雲高")</f>
        <v>青雲高</v>
      </c>
      <c r="C319" s="2" t="e">
        <f ca="1"/>
        <v>#N/A</v>
      </c>
      <c r="D319" s="2" t="e">
        <f ca="1"/>
        <v>#REF!</v>
      </c>
      <c r="E319" s="29" t="e">
        <f ca="1"/>
        <v>#REF!</v>
      </c>
      <c r="F319" s="30" t="e">
        <f ca="1"/>
        <v>#REF!</v>
      </c>
      <c r="G319" s="29" t="e">
        <f ca="1"/>
        <v>#REF!</v>
      </c>
      <c r="H319" s="30" t="e">
        <f ca="1"/>
        <v>#REF!</v>
      </c>
      <c r="I319" s="29" t="e">
        <f ca="1"/>
        <v>#REF!</v>
      </c>
      <c r="J319" s="29" t="e">
        <f ca="1"/>
        <v>#REF!</v>
      </c>
      <c r="K319" s="29" t="e">
        <f ca="1"/>
        <v>#REF!</v>
      </c>
      <c r="L319" s="29" t="e">
        <f ca="1"/>
        <v>#REF!</v>
      </c>
      <c r="M319" s="29" t="e">
        <f ca="1"/>
        <v>#REF!</v>
      </c>
      <c r="N319" s="29" t="e">
        <f ca="1"/>
        <v>#REF!</v>
      </c>
      <c r="O319" s="2" t="e">
        <f ca="1"/>
        <v>#N/A</v>
      </c>
      <c r="P319" s="2" t="e">
        <f ca="1"/>
        <v>#N/A</v>
      </c>
      <c r="Q319" s="2" t="s">
        <v>5</v>
      </c>
      <c r="R319" s="2" t="s">
        <v>5</v>
      </c>
      <c r="U319" s="2"/>
      <c r="V319" s="2" t="s">
        <v>5</v>
      </c>
      <c r="W319" s="2" t="s">
        <v>5</v>
      </c>
      <c r="X319" s="29" t="s">
        <v>5</v>
      </c>
      <c r="Y319" s="30" t="s">
        <v>5</v>
      </c>
      <c r="Z319" s="29" t="s">
        <v>5</v>
      </c>
      <c r="AA319" s="30" t="s">
        <v>5</v>
      </c>
      <c r="AB319" s="29" t="s">
        <v>5</v>
      </c>
      <c r="AC319" s="29" t="s">
        <v>5</v>
      </c>
      <c r="AD319" s="29" t="s">
        <v>5</v>
      </c>
      <c r="AE319" s="29" t="s">
        <v>5</v>
      </c>
      <c r="AF319" s="29" t="s">
        <v>5</v>
      </c>
      <c r="AG319" s="29" t="s">
        <v>5</v>
      </c>
      <c r="AH319" s="2" t="s">
        <v>5</v>
      </c>
      <c r="AI319" s="2" t="s">
        <v>5</v>
      </c>
      <c r="AJ319" s="2" t="s">
        <v>5</v>
      </c>
      <c r="AK319" s="2" t="s">
        <v>5</v>
      </c>
    </row>
    <row r="320" spans="2:37" ht="12.5">
      <c r="B320" s="2" t="str">
        <f ca="1">IFERROR(__xludf.DUMMYFUNCTION("""COMPUTED_VALUE"""),"江北高")</f>
        <v>江北高</v>
      </c>
      <c r="C320" s="2" t="e">
        <f ca="1"/>
        <v>#N/A</v>
      </c>
      <c r="D320" s="2" t="e">
        <f ca="1"/>
        <v>#REF!</v>
      </c>
      <c r="E320" s="29" t="e">
        <f ca="1"/>
        <v>#REF!</v>
      </c>
      <c r="F320" s="30" t="e">
        <f ca="1"/>
        <v>#REF!</v>
      </c>
      <c r="G320" s="29" t="e">
        <f ca="1"/>
        <v>#REF!</v>
      </c>
      <c r="H320" s="30" t="e">
        <f ca="1"/>
        <v>#REF!</v>
      </c>
      <c r="I320" s="29" t="e">
        <f ca="1"/>
        <v>#REF!</v>
      </c>
      <c r="J320" s="29" t="e">
        <f ca="1"/>
        <v>#REF!</v>
      </c>
      <c r="K320" s="29" t="e">
        <f ca="1"/>
        <v>#REF!</v>
      </c>
      <c r="L320" s="29" t="e">
        <f ca="1"/>
        <v>#REF!</v>
      </c>
      <c r="M320" s="29" t="e">
        <f ca="1"/>
        <v>#REF!</v>
      </c>
      <c r="N320" s="29" t="e">
        <f ca="1"/>
        <v>#REF!</v>
      </c>
      <c r="O320" s="2" t="e">
        <f ca="1"/>
        <v>#N/A</v>
      </c>
      <c r="P320" s="2" t="e">
        <f ca="1"/>
        <v>#N/A</v>
      </c>
      <c r="Q320" s="2" t="s">
        <v>5</v>
      </c>
      <c r="R320" s="2" t="s">
        <v>5</v>
      </c>
      <c r="U320" s="2"/>
      <c r="V320" s="2" t="s">
        <v>5</v>
      </c>
      <c r="W320" s="2" t="s">
        <v>5</v>
      </c>
      <c r="X320" s="29" t="s">
        <v>5</v>
      </c>
      <c r="Y320" s="30" t="s">
        <v>5</v>
      </c>
      <c r="Z320" s="29" t="s">
        <v>5</v>
      </c>
      <c r="AA320" s="30" t="s">
        <v>5</v>
      </c>
      <c r="AB320" s="29" t="s">
        <v>5</v>
      </c>
      <c r="AC320" s="29" t="s">
        <v>5</v>
      </c>
      <c r="AD320" s="29" t="s">
        <v>5</v>
      </c>
      <c r="AE320" s="29" t="s">
        <v>5</v>
      </c>
      <c r="AF320" s="29" t="s">
        <v>5</v>
      </c>
      <c r="AG320" s="29" t="s">
        <v>5</v>
      </c>
      <c r="AH320" s="2" t="s">
        <v>5</v>
      </c>
      <c r="AI320" s="2" t="s">
        <v>5</v>
      </c>
      <c r="AJ320" s="2" t="s">
        <v>5</v>
      </c>
      <c r="AK320" s="2" t="s">
        <v>5</v>
      </c>
    </row>
    <row r="321" spans="2:37" ht="12.5">
      <c r="B321" s="2" t="str">
        <f ca="1">IFERROR(__xludf.DUMMYFUNCTION("""COMPUTED_VALUE"""),"捜真女学校")</f>
        <v>捜真女学校</v>
      </c>
      <c r="C321" s="2" t="e">
        <f ca="1"/>
        <v>#N/A</v>
      </c>
      <c r="D321" s="2" t="e">
        <f ca="1"/>
        <v>#REF!</v>
      </c>
      <c r="E321" s="29" t="e">
        <f ca="1"/>
        <v>#REF!</v>
      </c>
      <c r="F321" s="30" t="e">
        <f ca="1"/>
        <v>#REF!</v>
      </c>
      <c r="G321" s="29" t="e">
        <f ca="1"/>
        <v>#REF!</v>
      </c>
      <c r="H321" s="30" t="e">
        <f ca="1"/>
        <v>#REF!</v>
      </c>
      <c r="I321" s="29" t="e">
        <f ca="1"/>
        <v>#REF!</v>
      </c>
      <c r="J321" s="29" t="e">
        <f ca="1"/>
        <v>#REF!</v>
      </c>
      <c r="K321" s="29" t="e">
        <f ca="1"/>
        <v>#REF!</v>
      </c>
      <c r="L321" s="29" t="e">
        <f ca="1"/>
        <v>#REF!</v>
      </c>
      <c r="M321" s="29" t="e">
        <f ca="1"/>
        <v>#REF!</v>
      </c>
      <c r="N321" s="29" t="e">
        <f ca="1"/>
        <v>#REF!</v>
      </c>
      <c r="O321" s="2" t="e">
        <f ca="1"/>
        <v>#N/A</v>
      </c>
      <c r="P321" s="2" t="e">
        <f ca="1"/>
        <v>#N/A</v>
      </c>
      <c r="Q321" s="2" t="s">
        <v>5</v>
      </c>
      <c r="R321" s="2" t="s">
        <v>5</v>
      </c>
      <c r="U321" s="2"/>
      <c r="V321" s="2" t="s">
        <v>5</v>
      </c>
      <c r="W321" s="2" t="s">
        <v>5</v>
      </c>
      <c r="X321" s="29" t="s">
        <v>5</v>
      </c>
      <c r="Y321" s="30" t="s">
        <v>5</v>
      </c>
      <c r="Z321" s="29" t="s">
        <v>5</v>
      </c>
      <c r="AA321" s="30" t="s">
        <v>5</v>
      </c>
      <c r="AB321" s="29" t="s">
        <v>5</v>
      </c>
      <c r="AC321" s="29" t="s">
        <v>5</v>
      </c>
      <c r="AD321" s="29" t="s">
        <v>5</v>
      </c>
      <c r="AE321" s="29" t="s">
        <v>5</v>
      </c>
      <c r="AF321" s="29" t="s">
        <v>5</v>
      </c>
      <c r="AG321" s="29" t="s">
        <v>5</v>
      </c>
      <c r="AH321" s="2" t="s">
        <v>5</v>
      </c>
      <c r="AI321" s="2" t="s">
        <v>5</v>
      </c>
      <c r="AJ321" s="2" t="s">
        <v>5</v>
      </c>
      <c r="AK321" s="2" t="s">
        <v>5</v>
      </c>
    </row>
    <row r="322" spans="2:37" ht="12.5">
      <c r="B322" s="2" t="str">
        <f ca="1">IFERROR(__xludf.DUMMYFUNCTION("""COMPUTED_VALUE"""),"東海大付大阪仰星高")</f>
        <v>東海大付大阪仰星高</v>
      </c>
      <c r="C322" s="2" t="e">
        <f ca="1"/>
        <v>#N/A</v>
      </c>
      <c r="D322" s="2" t="e">
        <f ca="1"/>
        <v>#REF!</v>
      </c>
      <c r="E322" s="29" t="e">
        <f ca="1"/>
        <v>#REF!</v>
      </c>
      <c r="F322" s="30" t="e">
        <f ca="1"/>
        <v>#REF!</v>
      </c>
      <c r="G322" s="29" t="e">
        <f ca="1"/>
        <v>#REF!</v>
      </c>
      <c r="H322" s="30" t="e">
        <f ca="1"/>
        <v>#REF!</v>
      </c>
      <c r="I322" s="29" t="e">
        <f ca="1"/>
        <v>#REF!</v>
      </c>
      <c r="J322" s="29" t="e">
        <f ca="1"/>
        <v>#REF!</v>
      </c>
      <c r="K322" s="29" t="e">
        <f ca="1"/>
        <v>#REF!</v>
      </c>
      <c r="L322" s="29" t="e">
        <f ca="1"/>
        <v>#REF!</v>
      </c>
      <c r="M322" s="29" t="e">
        <f ca="1"/>
        <v>#REF!</v>
      </c>
      <c r="N322" s="29" t="e">
        <f ca="1"/>
        <v>#REF!</v>
      </c>
      <c r="O322" s="2" t="e">
        <f ca="1"/>
        <v>#N/A</v>
      </c>
      <c r="P322" s="2" t="e">
        <f ca="1"/>
        <v>#N/A</v>
      </c>
      <c r="Q322" s="2" t="s">
        <v>5</v>
      </c>
      <c r="R322" s="2" t="s">
        <v>5</v>
      </c>
      <c r="U322" s="2"/>
      <c r="V322" s="2" t="s">
        <v>5</v>
      </c>
      <c r="W322" s="2" t="s">
        <v>5</v>
      </c>
      <c r="X322" s="29" t="s">
        <v>5</v>
      </c>
      <c r="Y322" s="30" t="s">
        <v>5</v>
      </c>
      <c r="Z322" s="29" t="s">
        <v>5</v>
      </c>
      <c r="AA322" s="30" t="s">
        <v>5</v>
      </c>
      <c r="AB322" s="29" t="s">
        <v>5</v>
      </c>
      <c r="AC322" s="29" t="s">
        <v>5</v>
      </c>
      <c r="AD322" s="29" t="s">
        <v>5</v>
      </c>
      <c r="AE322" s="29" t="s">
        <v>5</v>
      </c>
      <c r="AF322" s="29" t="s">
        <v>5</v>
      </c>
      <c r="AG322" s="29" t="s">
        <v>5</v>
      </c>
      <c r="AH322" s="2" t="s">
        <v>5</v>
      </c>
      <c r="AI322" s="2" t="s">
        <v>5</v>
      </c>
      <c r="AJ322" s="2" t="s">
        <v>5</v>
      </c>
      <c r="AK322" s="2" t="s">
        <v>5</v>
      </c>
    </row>
    <row r="323" spans="2:37" ht="12.5">
      <c r="B323" s="2" t="str">
        <f ca="1">IFERROR(__xludf.DUMMYFUNCTION("""COMPUTED_VALUE"""),"札幌大谷高")</f>
        <v>札幌大谷高</v>
      </c>
      <c r="C323" s="2" t="e">
        <f ca="1"/>
        <v>#N/A</v>
      </c>
      <c r="D323" s="2" t="e">
        <f ca="1"/>
        <v>#REF!</v>
      </c>
      <c r="E323" s="29" t="e">
        <f ca="1"/>
        <v>#REF!</v>
      </c>
      <c r="F323" s="30" t="e">
        <f ca="1"/>
        <v>#REF!</v>
      </c>
      <c r="G323" s="29" t="e">
        <f ca="1"/>
        <v>#REF!</v>
      </c>
      <c r="H323" s="30" t="e">
        <f ca="1"/>
        <v>#REF!</v>
      </c>
      <c r="I323" s="29" t="e">
        <f ca="1"/>
        <v>#REF!</v>
      </c>
      <c r="J323" s="29" t="e">
        <f ca="1"/>
        <v>#REF!</v>
      </c>
      <c r="K323" s="29" t="e">
        <f ca="1"/>
        <v>#REF!</v>
      </c>
      <c r="L323" s="29" t="e">
        <f ca="1"/>
        <v>#REF!</v>
      </c>
      <c r="M323" s="29" t="e">
        <f ca="1"/>
        <v>#REF!</v>
      </c>
      <c r="N323" s="29" t="e">
        <f ca="1"/>
        <v>#REF!</v>
      </c>
      <c r="O323" s="2" t="e">
        <f ca="1"/>
        <v>#N/A</v>
      </c>
      <c r="P323" s="2" t="e">
        <f ca="1"/>
        <v>#N/A</v>
      </c>
      <c r="Q323" s="2" t="s">
        <v>5</v>
      </c>
      <c r="R323" s="2" t="s">
        <v>5</v>
      </c>
      <c r="U323" s="2"/>
      <c r="V323" s="2" t="s">
        <v>5</v>
      </c>
      <c r="W323" s="2" t="s">
        <v>5</v>
      </c>
      <c r="X323" s="29" t="s">
        <v>5</v>
      </c>
      <c r="Y323" s="30" t="s">
        <v>5</v>
      </c>
      <c r="Z323" s="29" t="s">
        <v>5</v>
      </c>
      <c r="AA323" s="30" t="s">
        <v>5</v>
      </c>
      <c r="AB323" s="29" t="s">
        <v>5</v>
      </c>
      <c r="AC323" s="29" t="s">
        <v>5</v>
      </c>
      <c r="AD323" s="29" t="s">
        <v>5</v>
      </c>
      <c r="AE323" s="29" t="s">
        <v>5</v>
      </c>
      <c r="AF323" s="29" t="s">
        <v>5</v>
      </c>
      <c r="AG323" s="29" t="s">
        <v>5</v>
      </c>
      <c r="AH323" s="2" t="s">
        <v>5</v>
      </c>
      <c r="AI323" s="2" t="s">
        <v>5</v>
      </c>
      <c r="AJ323" s="2" t="s">
        <v>5</v>
      </c>
      <c r="AK323" s="2" t="s">
        <v>5</v>
      </c>
    </row>
    <row r="324" spans="2:37" ht="12.5">
      <c r="B324" s="2" t="str">
        <f ca="1">IFERROR(__xludf.DUMMYFUNCTION("""COMPUTED_VALUE"""),"常翔啓光学園高")</f>
        <v>常翔啓光学園高</v>
      </c>
      <c r="C324" s="2" t="e">
        <f ca="1"/>
        <v>#N/A</v>
      </c>
      <c r="D324" s="2" t="e">
        <f ca="1"/>
        <v>#REF!</v>
      </c>
      <c r="E324" s="29" t="e">
        <f ca="1"/>
        <v>#REF!</v>
      </c>
      <c r="F324" s="30" t="e">
        <f ca="1"/>
        <v>#REF!</v>
      </c>
      <c r="G324" s="29" t="e">
        <f ca="1"/>
        <v>#REF!</v>
      </c>
      <c r="H324" s="30" t="e">
        <f ca="1"/>
        <v>#REF!</v>
      </c>
      <c r="I324" s="29" t="e">
        <f ca="1"/>
        <v>#REF!</v>
      </c>
      <c r="J324" s="29" t="e">
        <f ca="1"/>
        <v>#REF!</v>
      </c>
      <c r="K324" s="29" t="e">
        <f ca="1"/>
        <v>#REF!</v>
      </c>
      <c r="L324" s="29" t="e">
        <f ca="1"/>
        <v>#REF!</v>
      </c>
      <c r="M324" s="29" t="e">
        <f ca="1"/>
        <v>#REF!</v>
      </c>
      <c r="N324" s="29" t="e">
        <f ca="1"/>
        <v>#REF!</v>
      </c>
      <c r="O324" s="2" t="e">
        <f ca="1"/>
        <v>#N/A</v>
      </c>
      <c r="P324" s="2" t="e">
        <f ca="1"/>
        <v>#N/A</v>
      </c>
      <c r="Q324" s="2" t="s">
        <v>5</v>
      </c>
      <c r="R324" s="2" t="s">
        <v>5</v>
      </c>
      <c r="U324" s="2"/>
      <c r="V324" s="2" t="s">
        <v>5</v>
      </c>
      <c r="W324" s="2" t="s">
        <v>5</v>
      </c>
      <c r="X324" s="29" t="s">
        <v>5</v>
      </c>
      <c r="Y324" s="30" t="s">
        <v>5</v>
      </c>
      <c r="Z324" s="29" t="s">
        <v>5</v>
      </c>
      <c r="AA324" s="30" t="s">
        <v>5</v>
      </c>
      <c r="AB324" s="29" t="s">
        <v>5</v>
      </c>
      <c r="AC324" s="29" t="s">
        <v>5</v>
      </c>
      <c r="AD324" s="29" t="s">
        <v>5</v>
      </c>
      <c r="AE324" s="29" t="s">
        <v>5</v>
      </c>
      <c r="AF324" s="29" t="s">
        <v>5</v>
      </c>
      <c r="AG324" s="29" t="s">
        <v>5</v>
      </c>
      <c r="AH324" s="2" t="s">
        <v>5</v>
      </c>
      <c r="AI324" s="2" t="s">
        <v>5</v>
      </c>
      <c r="AJ324" s="2" t="s">
        <v>5</v>
      </c>
      <c r="AK324" s="2" t="s">
        <v>5</v>
      </c>
    </row>
    <row r="325" spans="2:37" ht="12.5">
      <c r="B325" s="2" t="str">
        <f ca="1">IFERROR(__xludf.DUMMYFUNCTION("""COMPUTED_VALUE"""),"同志社女子高")</f>
        <v>同志社女子高</v>
      </c>
      <c r="C325" s="2" t="e">
        <f ca="1"/>
        <v>#N/A</v>
      </c>
      <c r="D325" s="2" t="e">
        <f ca="1"/>
        <v>#REF!</v>
      </c>
      <c r="E325" s="29" t="e">
        <f ca="1"/>
        <v>#REF!</v>
      </c>
      <c r="F325" s="30" t="e">
        <f ca="1"/>
        <v>#REF!</v>
      </c>
      <c r="G325" s="29" t="e">
        <f ca="1"/>
        <v>#REF!</v>
      </c>
      <c r="H325" s="30" t="e">
        <f ca="1"/>
        <v>#REF!</v>
      </c>
      <c r="I325" s="29" t="e">
        <f ca="1"/>
        <v>#REF!</v>
      </c>
      <c r="J325" s="29" t="e">
        <f ca="1"/>
        <v>#REF!</v>
      </c>
      <c r="K325" s="29" t="e">
        <f ca="1"/>
        <v>#REF!</v>
      </c>
      <c r="L325" s="29" t="e">
        <f ca="1"/>
        <v>#REF!</v>
      </c>
      <c r="M325" s="29" t="e">
        <f ca="1"/>
        <v>#REF!</v>
      </c>
      <c r="N325" s="29" t="e">
        <f ca="1"/>
        <v>#REF!</v>
      </c>
      <c r="O325" s="2" t="e">
        <f ca="1"/>
        <v>#N/A</v>
      </c>
      <c r="P325" s="2" t="e">
        <f ca="1"/>
        <v>#N/A</v>
      </c>
      <c r="Q325" s="2" t="s">
        <v>5</v>
      </c>
      <c r="R325" s="2" t="s">
        <v>5</v>
      </c>
      <c r="U325" s="2"/>
      <c r="V325" s="2" t="s">
        <v>5</v>
      </c>
      <c r="W325" s="2" t="s">
        <v>5</v>
      </c>
      <c r="X325" s="29" t="s">
        <v>5</v>
      </c>
      <c r="Y325" s="30" t="s">
        <v>5</v>
      </c>
      <c r="Z325" s="29" t="s">
        <v>5</v>
      </c>
      <c r="AA325" s="30" t="s">
        <v>5</v>
      </c>
      <c r="AB325" s="29" t="s">
        <v>5</v>
      </c>
      <c r="AC325" s="29" t="s">
        <v>5</v>
      </c>
      <c r="AD325" s="29" t="s">
        <v>5</v>
      </c>
      <c r="AE325" s="29" t="s">
        <v>5</v>
      </c>
      <c r="AF325" s="29" t="s">
        <v>5</v>
      </c>
      <c r="AG325" s="29" t="s">
        <v>5</v>
      </c>
      <c r="AH325" s="2" t="s">
        <v>5</v>
      </c>
      <c r="AI325" s="2" t="s">
        <v>5</v>
      </c>
      <c r="AJ325" s="2" t="s">
        <v>5</v>
      </c>
      <c r="AK325" s="2" t="s">
        <v>5</v>
      </c>
    </row>
    <row r="326" spans="2:37" ht="12.5">
      <c r="B326" s="2" t="str">
        <f ca="1">IFERROR(__xludf.DUMMYFUNCTION("""COMPUTED_VALUE"""),"舞子高")</f>
        <v>舞子高</v>
      </c>
      <c r="C326" s="2" t="e">
        <f ca="1"/>
        <v>#N/A</v>
      </c>
      <c r="D326" s="2" t="e">
        <f ca="1"/>
        <v>#REF!</v>
      </c>
      <c r="E326" s="29" t="e">
        <f ca="1"/>
        <v>#REF!</v>
      </c>
      <c r="F326" s="30" t="e">
        <f ca="1"/>
        <v>#REF!</v>
      </c>
      <c r="G326" s="29" t="e">
        <f ca="1"/>
        <v>#REF!</v>
      </c>
      <c r="H326" s="30" t="e">
        <f ca="1"/>
        <v>#REF!</v>
      </c>
      <c r="I326" s="29" t="e">
        <f ca="1"/>
        <v>#REF!</v>
      </c>
      <c r="J326" s="29" t="e">
        <f ca="1"/>
        <v>#REF!</v>
      </c>
      <c r="K326" s="29" t="e">
        <f ca="1"/>
        <v>#REF!</v>
      </c>
      <c r="L326" s="29" t="e">
        <f ca="1"/>
        <v>#REF!</v>
      </c>
      <c r="M326" s="29" t="e">
        <f ca="1"/>
        <v>#REF!</v>
      </c>
      <c r="N326" s="29" t="e">
        <f ca="1"/>
        <v>#REF!</v>
      </c>
      <c r="O326" s="2" t="e">
        <f ca="1"/>
        <v>#N/A</v>
      </c>
      <c r="P326" s="2" t="e">
        <f ca="1"/>
        <v>#N/A</v>
      </c>
      <c r="Q326" s="2" t="s">
        <v>5</v>
      </c>
      <c r="R326" s="2" t="s">
        <v>5</v>
      </c>
      <c r="U326" s="2"/>
      <c r="V326" s="2" t="s">
        <v>5</v>
      </c>
      <c r="W326" s="2" t="s">
        <v>5</v>
      </c>
      <c r="X326" s="29" t="s">
        <v>5</v>
      </c>
      <c r="Y326" s="30" t="s">
        <v>5</v>
      </c>
      <c r="Z326" s="29" t="s">
        <v>5</v>
      </c>
      <c r="AA326" s="30" t="s">
        <v>5</v>
      </c>
      <c r="AB326" s="29" t="s">
        <v>5</v>
      </c>
      <c r="AC326" s="29" t="s">
        <v>5</v>
      </c>
      <c r="AD326" s="29" t="s">
        <v>5</v>
      </c>
      <c r="AE326" s="29" t="s">
        <v>5</v>
      </c>
      <c r="AF326" s="29" t="s">
        <v>5</v>
      </c>
      <c r="AG326" s="29" t="s">
        <v>5</v>
      </c>
      <c r="AH326" s="2" t="s">
        <v>5</v>
      </c>
      <c r="AI326" s="2" t="s">
        <v>5</v>
      </c>
      <c r="AJ326" s="2" t="s">
        <v>5</v>
      </c>
      <c r="AK326" s="2" t="s">
        <v>5</v>
      </c>
    </row>
    <row r="327" spans="2:37" ht="12.5">
      <c r="B327" s="2" t="str">
        <f ca="1">IFERROR(__xludf.DUMMYFUNCTION("""COMPUTED_VALUE"""),"青翔高")</f>
        <v>青翔高</v>
      </c>
      <c r="C327" s="2" t="e">
        <f ca="1"/>
        <v>#N/A</v>
      </c>
      <c r="D327" s="2" t="e">
        <f ca="1"/>
        <v>#REF!</v>
      </c>
      <c r="E327" s="29" t="e">
        <f ca="1"/>
        <v>#REF!</v>
      </c>
      <c r="F327" s="30" t="e">
        <f ca="1"/>
        <v>#REF!</v>
      </c>
      <c r="G327" s="29" t="e">
        <f ca="1"/>
        <v>#REF!</v>
      </c>
      <c r="H327" s="30" t="e">
        <f ca="1"/>
        <v>#REF!</v>
      </c>
      <c r="I327" s="29" t="e">
        <f ca="1"/>
        <v>#REF!</v>
      </c>
      <c r="J327" s="29" t="e">
        <f ca="1"/>
        <v>#REF!</v>
      </c>
      <c r="K327" s="29" t="e">
        <f ca="1"/>
        <v>#REF!</v>
      </c>
      <c r="L327" s="29" t="e">
        <f ca="1"/>
        <v>#REF!</v>
      </c>
      <c r="M327" s="29" t="e">
        <f ca="1"/>
        <v>#REF!</v>
      </c>
      <c r="N327" s="29" t="e">
        <f ca="1"/>
        <v>#REF!</v>
      </c>
      <c r="O327" s="2" t="e">
        <f ca="1"/>
        <v>#N/A</v>
      </c>
      <c r="P327" s="2" t="e">
        <f ca="1"/>
        <v>#N/A</v>
      </c>
      <c r="Q327" s="2" t="s">
        <v>5</v>
      </c>
      <c r="R327" s="2" t="s">
        <v>5</v>
      </c>
      <c r="U327" s="2"/>
      <c r="V327" s="2" t="s">
        <v>5</v>
      </c>
      <c r="W327" s="2" t="s">
        <v>5</v>
      </c>
      <c r="X327" s="29" t="s">
        <v>5</v>
      </c>
      <c r="Y327" s="30" t="s">
        <v>5</v>
      </c>
      <c r="Z327" s="29" t="s">
        <v>5</v>
      </c>
      <c r="AA327" s="30" t="s">
        <v>5</v>
      </c>
      <c r="AB327" s="29" t="s">
        <v>5</v>
      </c>
      <c r="AC327" s="29" t="s">
        <v>5</v>
      </c>
      <c r="AD327" s="29" t="s">
        <v>5</v>
      </c>
      <c r="AE327" s="29" t="s">
        <v>5</v>
      </c>
      <c r="AF327" s="29" t="s">
        <v>5</v>
      </c>
      <c r="AG327" s="29" t="s">
        <v>5</v>
      </c>
      <c r="AH327" s="2" t="s">
        <v>5</v>
      </c>
      <c r="AI327" s="2" t="s">
        <v>5</v>
      </c>
      <c r="AJ327" s="2" t="s">
        <v>5</v>
      </c>
      <c r="AK327" s="2" t="s">
        <v>5</v>
      </c>
    </row>
    <row r="328" spans="2:37" ht="12.5">
      <c r="B328" s="2" t="str">
        <f ca="1">IFERROR(__xludf.DUMMYFUNCTION("""COMPUTED_VALUE"""),"中津北高")</f>
        <v>中津北高</v>
      </c>
      <c r="C328" s="2" t="e">
        <f ca="1"/>
        <v>#N/A</v>
      </c>
      <c r="D328" s="2" t="e">
        <f ca="1"/>
        <v>#REF!</v>
      </c>
      <c r="E328" s="29" t="e">
        <f ca="1"/>
        <v>#REF!</v>
      </c>
      <c r="F328" s="30" t="e">
        <f ca="1"/>
        <v>#REF!</v>
      </c>
      <c r="G328" s="29" t="e">
        <f ca="1"/>
        <v>#REF!</v>
      </c>
      <c r="H328" s="30" t="e">
        <f ca="1"/>
        <v>#REF!</v>
      </c>
      <c r="I328" s="29" t="e">
        <f ca="1"/>
        <v>#REF!</v>
      </c>
      <c r="J328" s="29" t="e">
        <f ca="1"/>
        <v>#REF!</v>
      </c>
      <c r="K328" s="29" t="e">
        <f ca="1"/>
        <v>#REF!</v>
      </c>
      <c r="L328" s="29" t="e">
        <f ca="1"/>
        <v>#REF!</v>
      </c>
      <c r="M328" s="29" t="e">
        <f ca="1"/>
        <v>#REF!</v>
      </c>
      <c r="N328" s="29" t="e">
        <f ca="1"/>
        <v>#REF!</v>
      </c>
      <c r="O328" s="2" t="e">
        <f ca="1"/>
        <v>#N/A</v>
      </c>
      <c r="P328" s="2" t="e">
        <f ca="1"/>
        <v>#N/A</v>
      </c>
      <c r="Q328" s="2" t="s">
        <v>5</v>
      </c>
      <c r="R328" s="2" t="s">
        <v>5</v>
      </c>
      <c r="U328" s="2"/>
      <c r="V328" s="2" t="s">
        <v>5</v>
      </c>
      <c r="W328" s="2" t="s">
        <v>5</v>
      </c>
      <c r="X328" s="29" t="s">
        <v>5</v>
      </c>
      <c r="Y328" s="30" t="s">
        <v>5</v>
      </c>
      <c r="Z328" s="29" t="s">
        <v>5</v>
      </c>
      <c r="AA328" s="30" t="s">
        <v>5</v>
      </c>
      <c r="AB328" s="29" t="s">
        <v>5</v>
      </c>
      <c r="AC328" s="29" t="s">
        <v>5</v>
      </c>
      <c r="AD328" s="29" t="s">
        <v>5</v>
      </c>
      <c r="AE328" s="29" t="s">
        <v>5</v>
      </c>
      <c r="AF328" s="29" t="s">
        <v>5</v>
      </c>
      <c r="AG328" s="29" t="s">
        <v>5</v>
      </c>
      <c r="AH328" s="2" t="s">
        <v>5</v>
      </c>
      <c r="AI328" s="2" t="s">
        <v>5</v>
      </c>
      <c r="AJ328" s="2" t="s">
        <v>5</v>
      </c>
      <c r="AK328" s="2" t="s">
        <v>5</v>
      </c>
    </row>
    <row r="329" spans="2:37" ht="12.5">
      <c r="B329" s="2" t="str">
        <f ca="1">IFERROR(__xludf.DUMMYFUNCTION("""COMPUTED_VALUE"""),"梅花高")</f>
        <v>梅花高</v>
      </c>
      <c r="C329" s="2" t="e">
        <f ca="1"/>
        <v>#N/A</v>
      </c>
      <c r="D329" s="2" t="e">
        <f ca="1"/>
        <v>#REF!</v>
      </c>
      <c r="E329" s="29" t="e">
        <f ca="1"/>
        <v>#REF!</v>
      </c>
      <c r="F329" s="30" t="e">
        <f ca="1"/>
        <v>#REF!</v>
      </c>
      <c r="G329" s="29" t="e">
        <f ca="1"/>
        <v>#REF!</v>
      </c>
      <c r="H329" s="30" t="e">
        <f ca="1"/>
        <v>#REF!</v>
      </c>
      <c r="I329" s="29" t="e">
        <f ca="1"/>
        <v>#REF!</v>
      </c>
      <c r="J329" s="29" t="e">
        <f ca="1"/>
        <v>#REF!</v>
      </c>
      <c r="K329" s="29" t="e">
        <f ca="1"/>
        <v>#REF!</v>
      </c>
      <c r="L329" s="29" t="e">
        <f ca="1"/>
        <v>#REF!</v>
      </c>
      <c r="M329" s="29" t="e">
        <f ca="1"/>
        <v>#REF!</v>
      </c>
      <c r="N329" s="29" t="e">
        <f ca="1"/>
        <v>#REF!</v>
      </c>
      <c r="O329" s="2" t="e">
        <f ca="1"/>
        <v>#N/A</v>
      </c>
      <c r="P329" s="2" t="e">
        <f ca="1"/>
        <v>#N/A</v>
      </c>
      <c r="Q329" s="2" t="s">
        <v>5</v>
      </c>
      <c r="R329" s="2" t="s">
        <v>5</v>
      </c>
      <c r="U329" s="2"/>
      <c r="V329" s="2" t="s">
        <v>5</v>
      </c>
      <c r="W329" s="2" t="s">
        <v>5</v>
      </c>
      <c r="X329" s="29" t="s">
        <v>5</v>
      </c>
      <c r="Y329" s="30" t="s">
        <v>5</v>
      </c>
      <c r="Z329" s="29" t="s">
        <v>5</v>
      </c>
      <c r="AA329" s="30" t="s">
        <v>5</v>
      </c>
      <c r="AB329" s="29" t="s">
        <v>5</v>
      </c>
      <c r="AC329" s="29" t="s">
        <v>5</v>
      </c>
      <c r="AD329" s="29" t="s">
        <v>5</v>
      </c>
      <c r="AE329" s="29" t="s">
        <v>5</v>
      </c>
      <c r="AF329" s="29" t="s">
        <v>5</v>
      </c>
      <c r="AG329" s="29" t="s">
        <v>5</v>
      </c>
      <c r="AH329" s="2" t="s">
        <v>5</v>
      </c>
      <c r="AI329" s="2" t="s">
        <v>5</v>
      </c>
      <c r="AJ329" s="2" t="s">
        <v>5</v>
      </c>
      <c r="AK329" s="2" t="s">
        <v>5</v>
      </c>
    </row>
    <row r="330" spans="2:37" ht="12.5">
      <c r="B330" s="2" t="str">
        <f ca="1">IFERROR(__xludf.DUMMYFUNCTION("""COMPUTED_VALUE"""),"宝塚高")</f>
        <v>宝塚高</v>
      </c>
      <c r="C330" s="2" t="e">
        <f ca="1"/>
        <v>#N/A</v>
      </c>
      <c r="D330" s="2" t="e">
        <f ca="1"/>
        <v>#REF!</v>
      </c>
      <c r="E330" s="29" t="e">
        <f ca="1"/>
        <v>#REF!</v>
      </c>
      <c r="F330" s="30" t="e">
        <f ca="1"/>
        <v>#REF!</v>
      </c>
      <c r="G330" s="29" t="e">
        <f ca="1"/>
        <v>#REF!</v>
      </c>
      <c r="H330" s="30" t="e">
        <f ca="1"/>
        <v>#REF!</v>
      </c>
      <c r="I330" s="29" t="e">
        <f ca="1"/>
        <v>#REF!</v>
      </c>
      <c r="J330" s="29" t="e">
        <f ca="1"/>
        <v>#REF!</v>
      </c>
      <c r="K330" s="29" t="e">
        <f ca="1"/>
        <v>#REF!</v>
      </c>
      <c r="L330" s="29" t="e">
        <f ca="1"/>
        <v>#REF!</v>
      </c>
      <c r="M330" s="29" t="e">
        <f ca="1"/>
        <v>#REF!</v>
      </c>
      <c r="N330" s="29" t="e">
        <f ca="1"/>
        <v>#REF!</v>
      </c>
      <c r="O330" s="2" t="e">
        <f ca="1"/>
        <v>#N/A</v>
      </c>
      <c r="P330" s="2" t="e">
        <f ca="1"/>
        <v>#N/A</v>
      </c>
      <c r="Q330" s="2" t="s">
        <v>5</v>
      </c>
      <c r="R330" s="2" t="s">
        <v>5</v>
      </c>
      <c r="U330" s="2"/>
      <c r="V330" s="2" t="s">
        <v>5</v>
      </c>
      <c r="W330" s="2" t="s">
        <v>5</v>
      </c>
      <c r="X330" s="29" t="s">
        <v>5</v>
      </c>
      <c r="Y330" s="30" t="s">
        <v>5</v>
      </c>
      <c r="Z330" s="29" t="s">
        <v>5</v>
      </c>
      <c r="AA330" s="30" t="s">
        <v>5</v>
      </c>
      <c r="AB330" s="29" t="s">
        <v>5</v>
      </c>
      <c r="AC330" s="29" t="s">
        <v>5</v>
      </c>
      <c r="AD330" s="29" t="s">
        <v>5</v>
      </c>
      <c r="AE330" s="29" t="s">
        <v>5</v>
      </c>
      <c r="AF330" s="29" t="s">
        <v>5</v>
      </c>
      <c r="AG330" s="29" t="s">
        <v>5</v>
      </c>
      <c r="AH330" s="2" t="s">
        <v>5</v>
      </c>
      <c r="AI330" s="2" t="s">
        <v>5</v>
      </c>
      <c r="AJ330" s="2" t="s">
        <v>5</v>
      </c>
      <c r="AK330" s="2" t="s">
        <v>5</v>
      </c>
    </row>
    <row r="331" spans="2:37" ht="12.5">
      <c r="B331" s="2" t="str">
        <f ca="1">IFERROR(__xludf.DUMMYFUNCTION("""COMPUTED_VALUE"""),"久留米信愛高")</f>
        <v>久留米信愛高</v>
      </c>
      <c r="C331" s="2" t="e">
        <f ca="1"/>
        <v>#N/A</v>
      </c>
      <c r="D331" s="2" t="e">
        <f ca="1"/>
        <v>#REF!</v>
      </c>
      <c r="E331" s="29" t="e">
        <f ca="1"/>
        <v>#REF!</v>
      </c>
      <c r="F331" s="30" t="e">
        <f ca="1"/>
        <v>#REF!</v>
      </c>
      <c r="G331" s="29" t="e">
        <f ca="1"/>
        <v>#REF!</v>
      </c>
      <c r="H331" s="30" t="e">
        <f ca="1"/>
        <v>#REF!</v>
      </c>
      <c r="I331" s="29" t="e">
        <f ca="1"/>
        <v>#REF!</v>
      </c>
      <c r="J331" s="29" t="e">
        <f ca="1"/>
        <v>#REF!</v>
      </c>
      <c r="K331" s="29" t="e">
        <f ca="1"/>
        <v>#REF!</v>
      </c>
      <c r="L331" s="29" t="e">
        <f ca="1"/>
        <v>#REF!</v>
      </c>
      <c r="M331" s="29" t="e">
        <f ca="1"/>
        <v>#REF!</v>
      </c>
      <c r="N331" s="29" t="e">
        <f ca="1"/>
        <v>#REF!</v>
      </c>
      <c r="O331" s="2" t="e">
        <f ca="1"/>
        <v>#N/A</v>
      </c>
      <c r="P331" s="2" t="e">
        <f ca="1"/>
        <v>#N/A</v>
      </c>
      <c r="Q331" s="2" t="s">
        <v>5</v>
      </c>
      <c r="R331" s="2" t="s">
        <v>5</v>
      </c>
      <c r="U331" s="2"/>
      <c r="V331" s="2" t="s">
        <v>5</v>
      </c>
      <c r="W331" s="2" t="s">
        <v>5</v>
      </c>
      <c r="X331" s="29" t="s">
        <v>5</v>
      </c>
      <c r="Y331" s="30" t="s">
        <v>5</v>
      </c>
      <c r="Z331" s="29" t="s">
        <v>5</v>
      </c>
      <c r="AA331" s="30" t="s">
        <v>5</v>
      </c>
      <c r="AB331" s="29" t="s">
        <v>5</v>
      </c>
      <c r="AC331" s="29" t="s">
        <v>5</v>
      </c>
      <c r="AD331" s="29" t="s">
        <v>5</v>
      </c>
      <c r="AE331" s="29" t="s">
        <v>5</v>
      </c>
      <c r="AF331" s="29" t="s">
        <v>5</v>
      </c>
      <c r="AG331" s="29" t="s">
        <v>5</v>
      </c>
      <c r="AH331" s="2" t="s">
        <v>5</v>
      </c>
      <c r="AI331" s="2" t="s">
        <v>5</v>
      </c>
      <c r="AJ331" s="2" t="s">
        <v>5</v>
      </c>
      <c r="AK331" s="2" t="s">
        <v>5</v>
      </c>
    </row>
    <row r="332" spans="2:37" ht="12.5">
      <c r="B332" s="2" t="str">
        <f ca="1">IFERROR(__xludf.DUMMYFUNCTION("""COMPUTED_VALUE"""),"市伊丹高")</f>
        <v>市伊丹高</v>
      </c>
      <c r="C332" s="2" t="e">
        <f ca="1"/>
        <v>#N/A</v>
      </c>
      <c r="D332" s="2" t="e">
        <f ca="1"/>
        <v>#REF!</v>
      </c>
      <c r="E332" s="29" t="e">
        <f ca="1"/>
        <v>#REF!</v>
      </c>
      <c r="F332" s="30" t="e">
        <f ca="1"/>
        <v>#REF!</v>
      </c>
      <c r="G332" s="29" t="e">
        <f ca="1"/>
        <v>#REF!</v>
      </c>
      <c r="H332" s="30" t="e">
        <f ca="1"/>
        <v>#REF!</v>
      </c>
      <c r="I332" s="29" t="e">
        <f ca="1"/>
        <v>#REF!</v>
      </c>
      <c r="J332" s="29" t="e">
        <f ca="1"/>
        <v>#REF!</v>
      </c>
      <c r="K332" s="29" t="e">
        <f ca="1"/>
        <v>#REF!</v>
      </c>
      <c r="L332" s="29" t="e">
        <f ca="1"/>
        <v>#REF!</v>
      </c>
      <c r="M332" s="29" t="e">
        <f ca="1"/>
        <v>#REF!</v>
      </c>
      <c r="N332" s="29" t="e">
        <f ca="1"/>
        <v>#REF!</v>
      </c>
      <c r="O332" s="2" t="e">
        <f ca="1"/>
        <v>#N/A</v>
      </c>
      <c r="P332" s="2" t="e">
        <f ca="1"/>
        <v>#N/A</v>
      </c>
      <c r="Q332" s="2" t="s">
        <v>5</v>
      </c>
      <c r="R332" s="2" t="s">
        <v>5</v>
      </c>
      <c r="U332" s="2"/>
      <c r="V332" s="2" t="s">
        <v>5</v>
      </c>
      <c r="W332" s="2" t="s">
        <v>5</v>
      </c>
      <c r="X332" s="29" t="s">
        <v>5</v>
      </c>
      <c r="Y332" s="30" t="s">
        <v>5</v>
      </c>
      <c r="Z332" s="29" t="s">
        <v>5</v>
      </c>
      <c r="AA332" s="30" t="s">
        <v>5</v>
      </c>
      <c r="AB332" s="29" t="s">
        <v>5</v>
      </c>
      <c r="AC332" s="29" t="s">
        <v>5</v>
      </c>
      <c r="AD332" s="29" t="s">
        <v>5</v>
      </c>
      <c r="AE332" s="29" t="s">
        <v>5</v>
      </c>
      <c r="AF332" s="29" t="s">
        <v>5</v>
      </c>
      <c r="AG332" s="29" t="s">
        <v>5</v>
      </c>
      <c r="AH332" s="2" t="s">
        <v>5</v>
      </c>
      <c r="AI332" s="2" t="s">
        <v>5</v>
      </c>
      <c r="AJ332" s="2" t="s">
        <v>5</v>
      </c>
      <c r="AK332" s="2" t="s">
        <v>5</v>
      </c>
    </row>
    <row r="333" spans="2:37" ht="12.5">
      <c r="B333" s="2" t="str">
        <f ca="1">IFERROR(__xludf.DUMMYFUNCTION("""COMPUTED_VALUE"""),"秋留台高")</f>
        <v>秋留台高</v>
      </c>
      <c r="C333" s="2" t="e">
        <f ca="1"/>
        <v>#N/A</v>
      </c>
      <c r="D333" s="2" t="e">
        <f ca="1"/>
        <v>#REF!</v>
      </c>
      <c r="E333" s="29" t="e">
        <f ca="1"/>
        <v>#REF!</v>
      </c>
      <c r="F333" s="30" t="e">
        <f ca="1"/>
        <v>#REF!</v>
      </c>
      <c r="G333" s="29" t="e">
        <f ca="1"/>
        <v>#REF!</v>
      </c>
      <c r="H333" s="30" t="e">
        <f ca="1"/>
        <v>#REF!</v>
      </c>
      <c r="I333" s="29" t="e">
        <f ca="1"/>
        <v>#REF!</v>
      </c>
      <c r="J333" s="29" t="e">
        <f ca="1"/>
        <v>#REF!</v>
      </c>
      <c r="K333" s="29" t="e">
        <f ca="1"/>
        <v>#REF!</v>
      </c>
      <c r="L333" s="29" t="e">
        <f ca="1"/>
        <v>#REF!</v>
      </c>
      <c r="M333" s="29" t="e">
        <f ca="1"/>
        <v>#REF!</v>
      </c>
      <c r="N333" s="29" t="e">
        <f ca="1"/>
        <v>#REF!</v>
      </c>
      <c r="O333" s="2" t="e">
        <f ca="1"/>
        <v>#N/A</v>
      </c>
      <c r="P333" s="2" t="e">
        <f ca="1"/>
        <v>#N/A</v>
      </c>
      <c r="Q333" s="2" t="s">
        <v>5</v>
      </c>
      <c r="R333" s="2" t="s">
        <v>5</v>
      </c>
      <c r="U333" s="2"/>
      <c r="V333" s="2" t="s">
        <v>5</v>
      </c>
      <c r="W333" s="2" t="s">
        <v>5</v>
      </c>
      <c r="X333" s="29" t="s">
        <v>5</v>
      </c>
      <c r="Y333" s="30" t="s">
        <v>5</v>
      </c>
      <c r="Z333" s="29" t="s">
        <v>5</v>
      </c>
      <c r="AA333" s="30" t="s">
        <v>5</v>
      </c>
      <c r="AB333" s="29" t="s">
        <v>5</v>
      </c>
      <c r="AC333" s="29" t="s">
        <v>5</v>
      </c>
      <c r="AD333" s="29" t="s">
        <v>5</v>
      </c>
      <c r="AE333" s="29" t="s">
        <v>5</v>
      </c>
      <c r="AF333" s="29" t="s">
        <v>5</v>
      </c>
      <c r="AG333" s="29" t="s">
        <v>5</v>
      </c>
      <c r="AH333" s="2" t="s">
        <v>5</v>
      </c>
      <c r="AI333" s="2" t="s">
        <v>5</v>
      </c>
      <c r="AJ333" s="2" t="s">
        <v>5</v>
      </c>
      <c r="AK333" s="2" t="s">
        <v>5</v>
      </c>
    </row>
    <row r="334" spans="2:37" ht="12.5">
      <c r="B334" s="2" t="str">
        <f ca="1">IFERROR(__xludf.DUMMYFUNCTION("""COMPUTED_VALUE"""),"智弁学園和歌山高")</f>
        <v>智弁学園和歌山高</v>
      </c>
      <c r="C334" s="2" t="e">
        <f ca="1"/>
        <v>#N/A</v>
      </c>
      <c r="D334" s="2" t="e">
        <f ca="1"/>
        <v>#REF!</v>
      </c>
      <c r="E334" s="29" t="e">
        <f ca="1"/>
        <v>#REF!</v>
      </c>
      <c r="F334" s="30" t="e">
        <f ca="1"/>
        <v>#REF!</v>
      </c>
      <c r="G334" s="29" t="e">
        <f ca="1"/>
        <v>#REF!</v>
      </c>
      <c r="H334" s="30" t="e">
        <f ca="1"/>
        <v>#REF!</v>
      </c>
      <c r="I334" s="29" t="e">
        <f ca="1"/>
        <v>#REF!</v>
      </c>
      <c r="J334" s="29" t="e">
        <f ca="1"/>
        <v>#REF!</v>
      </c>
      <c r="K334" s="29" t="e">
        <f ca="1"/>
        <v>#REF!</v>
      </c>
      <c r="L334" s="29" t="e">
        <f ca="1"/>
        <v>#REF!</v>
      </c>
      <c r="M334" s="29" t="e">
        <f ca="1"/>
        <v>#REF!</v>
      </c>
      <c r="N334" s="29" t="e">
        <f ca="1"/>
        <v>#REF!</v>
      </c>
      <c r="O334" s="2" t="e">
        <f ca="1"/>
        <v>#N/A</v>
      </c>
      <c r="P334" s="2" t="e">
        <f ca="1"/>
        <v>#N/A</v>
      </c>
      <c r="Q334" s="2" t="s">
        <v>5</v>
      </c>
      <c r="R334" s="2" t="s">
        <v>5</v>
      </c>
      <c r="U334" s="2"/>
      <c r="V334" s="2" t="s">
        <v>5</v>
      </c>
      <c r="W334" s="2" t="s">
        <v>5</v>
      </c>
      <c r="X334" s="29" t="s">
        <v>5</v>
      </c>
      <c r="Y334" s="30" t="s">
        <v>5</v>
      </c>
      <c r="Z334" s="29" t="s">
        <v>5</v>
      </c>
      <c r="AA334" s="30" t="s">
        <v>5</v>
      </c>
      <c r="AB334" s="29" t="s">
        <v>5</v>
      </c>
      <c r="AC334" s="29" t="s">
        <v>5</v>
      </c>
      <c r="AD334" s="29" t="s">
        <v>5</v>
      </c>
      <c r="AE334" s="29" t="s">
        <v>5</v>
      </c>
      <c r="AF334" s="29" t="s">
        <v>5</v>
      </c>
      <c r="AG334" s="29" t="s">
        <v>5</v>
      </c>
      <c r="AH334" s="2" t="s">
        <v>5</v>
      </c>
      <c r="AI334" s="2" t="s">
        <v>5</v>
      </c>
      <c r="AJ334" s="2" t="s">
        <v>5</v>
      </c>
      <c r="AK334" s="2" t="s">
        <v>5</v>
      </c>
    </row>
    <row r="335" spans="2:37" ht="12.5">
      <c r="B335" s="2" t="str">
        <f ca="1">IFERROR(__xludf.DUMMYFUNCTION("""COMPUTED_VALUE"""),"岡山朝日高")</f>
        <v>岡山朝日高</v>
      </c>
      <c r="C335" s="2" t="e">
        <f ca="1"/>
        <v>#N/A</v>
      </c>
      <c r="D335" s="2" t="e">
        <f ca="1"/>
        <v>#REF!</v>
      </c>
      <c r="E335" s="29" t="e">
        <f ca="1"/>
        <v>#REF!</v>
      </c>
      <c r="F335" s="30" t="e">
        <f ca="1"/>
        <v>#REF!</v>
      </c>
      <c r="G335" s="29" t="e">
        <f ca="1"/>
        <v>#REF!</v>
      </c>
      <c r="H335" s="30" t="e">
        <f ca="1"/>
        <v>#REF!</v>
      </c>
      <c r="I335" s="29" t="e">
        <f ca="1"/>
        <v>#REF!</v>
      </c>
      <c r="J335" s="29" t="e">
        <f ca="1"/>
        <v>#REF!</v>
      </c>
      <c r="K335" s="29" t="e">
        <f ca="1"/>
        <v>#REF!</v>
      </c>
      <c r="L335" s="29" t="e">
        <f ca="1"/>
        <v>#REF!</v>
      </c>
      <c r="M335" s="29" t="e">
        <f ca="1"/>
        <v>#REF!</v>
      </c>
      <c r="N335" s="29" t="e">
        <f ca="1"/>
        <v>#REF!</v>
      </c>
      <c r="O335" s="2" t="e">
        <f ca="1"/>
        <v>#N/A</v>
      </c>
      <c r="P335" s="2" t="e">
        <f ca="1"/>
        <v>#N/A</v>
      </c>
      <c r="Q335" s="2" t="s">
        <v>5</v>
      </c>
      <c r="R335" s="2" t="s">
        <v>5</v>
      </c>
      <c r="U335" s="2"/>
      <c r="V335" s="2" t="s">
        <v>5</v>
      </c>
      <c r="W335" s="2" t="s">
        <v>5</v>
      </c>
      <c r="X335" s="29" t="s">
        <v>5</v>
      </c>
      <c r="Y335" s="30" t="s">
        <v>5</v>
      </c>
      <c r="Z335" s="29" t="s">
        <v>5</v>
      </c>
      <c r="AA335" s="30" t="s">
        <v>5</v>
      </c>
      <c r="AB335" s="29" t="s">
        <v>5</v>
      </c>
      <c r="AC335" s="29" t="s">
        <v>5</v>
      </c>
      <c r="AD335" s="29" t="s">
        <v>5</v>
      </c>
      <c r="AE335" s="29" t="s">
        <v>5</v>
      </c>
      <c r="AF335" s="29" t="s">
        <v>5</v>
      </c>
      <c r="AG335" s="29" t="s">
        <v>5</v>
      </c>
      <c r="AH335" s="2" t="s">
        <v>5</v>
      </c>
      <c r="AI335" s="2" t="s">
        <v>5</v>
      </c>
      <c r="AJ335" s="2" t="s">
        <v>5</v>
      </c>
      <c r="AK335" s="2" t="s">
        <v>5</v>
      </c>
    </row>
    <row r="336" spans="2:37" ht="12.5">
      <c r="B336" s="2" t="str">
        <f ca="1">IFERROR(__xludf.DUMMYFUNCTION("""COMPUTED_VALUE"""),"福岡中央高")</f>
        <v>福岡中央高</v>
      </c>
      <c r="C336" s="2" t="e">
        <f ca="1"/>
        <v>#N/A</v>
      </c>
      <c r="D336" s="2" t="e">
        <f ca="1"/>
        <v>#REF!</v>
      </c>
      <c r="E336" s="29" t="e">
        <f ca="1"/>
        <v>#REF!</v>
      </c>
      <c r="F336" s="30" t="e">
        <f ca="1"/>
        <v>#REF!</v>
      </c>
      <c r="G336" s="29" t="e">
        <f ca="1"/>
        <v>#REF!</v>
      </c>
      <c r="H336" s="30" t="e">
        <f ca="1"/>
        <v>#REF!</v>
      </c>
      <c r="I336" s="29" t="e">
        <f ca="1"/>
        <v>#REF!</v>
      </c>
      <c r="J336" s="29" t="e">
        <f ca="1"/>
        <v>#REF!</v>
      </c>
      <c r="K336" s="29" t="e">
        <f ca="1"/>
        <v>#REF!</v>
      </c>
      <c r="L336" s="29" t="e">
        <f ca="1"/>
        <v>#REF!</v>
      </c>
      <c r="M336" s="29" t="e">
        <f ca="1"/>
        <v>#REF!</v>
      </c>
      <c r="N336" s="29" t="e">
        <f ca="1"/>
        <v>#REF!</v>
      </c>
      <c r="O336" s="2" t="e">
        <f ca="1"/>
        <v>#N/A</v>
      </c>
      <c r="P336" s="2" t="e">
        <f ca="1"/>
        <v>#N/A</v>
      </c>
      <c r="Q336" s="2" t="s">
        <v>5</v>
      </c>
      <c r="R336" s="2" t="s">
        <v>5</v>
      </c>
      <c r="U336" s="2"/>
      <c r="V336" s="2" t="s">
        <v>5</v>
      </c>
      <c r="W336" s="2" t="s">
        <v>5</v>
      </c>
      <c r="X336" s="29" t="s">
        <v>5</v>
      </c>
      <c r="Y336" s="30" t="s">
        <v>5</v>
      </c>
      <c r="Z336" s="29" t="s">
        <v>5</v>
      </c>
      <c r="AA336" s="30" t="s">
        <v>5</v>
      </c>
      <c r="AB336" s="29" t="s">
        <v>5</v>
      </c>
      <c r="AC336" s="29" t="s">
        <v>5</v>
      </c>
      <c r="AD336" s="29" t="s">
        <v>5</v>
      </c>
      <c r="AE336" s="29" t="s">
        <v>5</v>
      </c>
      <c r="AF336" s="29" t="s">
        <v>5</v>
      </c>
      <c r="AG336" s="29" t="s">
        <v>5</v>
      </c>
      <c r="AH336" s="2" t="s">
        <v>5</v>
      </c>
      <c r="AI336" s="2" t="s">
        <v>5</v>
      </c>
      <c r="AJ336" s="2" t="s">
        <v>5</v>
      </c>
      <c r="AK336" s="2" t="s">
        <v>5</v>
      </c>
    </row>
    <row r="337" spans="2:37" ht="12.5">
      <c r="B337" s="2" t="str">
        <f ca="1">IFERROR(__xludf.DUMMYFUNCTION("""COMPUTED_VALUE"""),"小松川高")</f>
        <v>小松川高</v>
      </c>
      <c r="C337" s="2" t="e">
        <f ca="1"/>
        <v>#N/A</v>
      </c>
      <c r="D337" s="2" t="e">
        <f ca="1"/>
        <v>#REF!</v>
      </c>
      <c r="E337" s="29" t="e">
        <f ca="1"/>
        <v>#REF!</v>
      </c>
      <c r="F337" s="30" t="e">
        <f ca="1"/>
        <v>#REF!</v>
      </c>
      <c r="G337" s="29" t="e">
        <f ca="1"/>
        <v>#REF!</v>
      </c>
      <c r="H337" s="30" t="e">
        <f ca="1"/>
        <v>#REF!</v>
      </c>
      <c r="I337" s="29" t="e">
        <f ca="1"/>
        <v>#REF!</v>
      </c>
      <c r="J337" s="29" t="e">
        <f ca="1"/>
        <v>#REF!</v>
      </c>
      <c r="K337" s="29" t="e">
        <f ca="1"/>
        <v>#REF!</v>
      </c>
      <c r="L337" s="29" t="e">
        <f ca="1"/>
        <v>#REF!</v>
      </c>
      <c r="M337" s="29" t="e">
        <f ca="1"/>
        <v>#REF!</v>
      </c>
      <c r="N337" s="29" t="e">
        <f ca="1"/>
        <v>#REF!</v>
      </c>
      <c r="O337" s="2" t="e">
        <f ca="1"/>
        <v>#N/A</v>
      </c>
      <c r="P337" s="2" t="e">
        <f ca="1"/>
        <v>#N/A</v>
      </c>
      <c r="Q337" s="2" t="s">
        <v>5</v>
      </c>
      <c r="R337" s="2" t="s">
        <v>5</v>
      </c>
      <c r="U337" s="2"/>
      <c r="V337" s="2" t="s">
        <v>5</v>
      </c>
      <c r="W337" s="2" t="s">
        <v>5</v>
      </c>
      <c r="X337" s="29" t="s">
        <v>5</v>
      </c>
      <c r="Y337" s="30" t="s">
        <v>5</v>
      </c>
      <c r="Z337" s="29" t="s">
        <v>5</v>
      </c>
      <c r="AA337" s="30" t="s">
        <v>5</v>
      </c>
      <c r="AB337" s="29" t="s">
        <v>5</v>
      </c>
      <c r="AC337" s="29" t="s">
        <v>5</v>
      </c>
      <c r="AD337" s="29" t="s">
        <v>5</v>
      </c>
      <c r="AE337" s="29" t="s">
        <v>5</v>
      </c>
      <c r="AF337" s="29" t="s">
        <v>5</v>
      </c>
      <c r="AG337" s="29" t="s">
        <v>5</v>
      </c>
      <c r="AH337" s="2" t="s">
        <v>5</v>
      </c>
      <c r="AI337" s="2" t="s">
        <v>5</v>
      </c>
      <c r="AJ337" s="2" t="s">
        <v>5</v>
      </c>
      <c r="AK337" s="2" t="s">
        <v>5</v>
      </c>
    </row>
    <row r="338" spans="2:37" ht="12.5">
      <c r="B338" s="2" t="str">
        <f ca="1">IFERROR(__xludf.DUMMYFUNCTION("""COMPUTED_VALUE"""),"仁愛女子高")</f>
        <v>仁愛女子高</v>
      </c>
      <c r="C338" s="2" t="e">
        <f ca="1"/>
        <v>#N/A</v>
      </c>
      <c r="D338" s="2" t="e">
        <f ca="1"/>
        <v>#REF!</v>
      </c>
      <c r="E338" s="29" t="e">
        <f ca="1"/>
        <v>#REF!</v>
      </c>
      <c r="F338" s="30" t="e">
        <f ca="1"/>
        <v>#REF!</v>
      </c>
      <c r="G338" s="29" t="e">
        <f ca="1"/>
        <v>#REF!</v>
      </c>
      <c r="H338" s="30" t="e">
        <f ca="1"/>
        <v>#REF!</v>
      </c>
      <c r="I338" s="29" t="e">
        <f ca="1"/>
        <v>#REF!</v>
      </c>
      <c r="J338" s="29" t="e">
        <f ca="1"/>
        <v>#REF!</v>
      </c>
      <c r="K338" s="29" t="e">
        <f ca="1"/>
        <v>#REF!</v>
      </c>
      <c r="L338" s="29" t="e">
        <f ca="1"/>
        <v>#REF!</v>
      </c>
      <c r="M338" s="29" t="e">
        <f ca="1"/>
        <v>#REF!</v>
      </c>
      <c r="N338" s="29" t="e">
        <f ca="1"/>
        <v>#REF!</v>
      </c>
      <c r="O338" s="2" t="e">
        <f ca="1"/>
        <v>#N/A</v>
      </c>
      <c r="P338" s="2" t="e">
        <f ca="1"/>
        <v>#N/A</v>
      </c>
      <c r="Q338" s="2" t="s">
        <v>5</v>
      </c>
      <c r="R338" s="2" t="s">
        <v>5</v>
      </c>
      <c r="U338" s="2"/>
      <c r="V338" s="2" t="s">
        <v>5</v>
      </c>
      <c r="W338" s="2" t="s">
        <v>5</v>
      </c>
      <c r="X338" s="29" t="s">
        <v>5</v>
      </c>
      <c r="Y338" s="30" t="s">
        <v>5</v>
      </c>
      <c r="Z338" s="29" t="s">
        <v>5</v>
      </c>
      <c r="AA338" s="30" t="s">
        <v>5</v>
      </c>
      <c r="AB338" s="29" t="s">
        <v>5</v>
      </c>
      <c r="AC338" s="29" t="s">
        <v>5</v>
      </c>
      <c r="AD338" s="29" t="s">
        <v>5</v>
      </c>
      <c r="AE338" s="29" t="s">
        <v>5</v>
      </c>
      <c r="AF338" s="29" t="s">
        <v>5</v>
      </c>
      <c r="AG338" s="29" t="s">
        <v>5</v>
      </c>
      <c r="AH338" s="2" t="s">
        <v>5</v>
      </c>
      <c r="AI338" s="2" t="s">
        <v>5</v>
      </c>
      <c r="AJ338" s="2" t="s">
        <v>5</v>
      </c>
      <c r="AK338" s="2" t="s">
        <v>5</v>
      </c>
    </row>
    <row r="339" spans="2:37" ht="12.5">
      <c r="B339" s="2" t="str">
        <f ca="1">IFERROR(__xludf.DUMMYFUNCTION("""COMPUTED_VALUE"""),"大阪青凌高")</f>
        <v>大阪青凌高</v>
      </c>
      <c r="C339" s="2" t="e">
        <f ca="1"/>
        <v>#N/A</v>
      </c>
      <c r="D339" s="2" t="e">
        <f ca="1"/>
        <v>#REF!</v>
      </c>
      <c r="E339" s="29" t="e">
        <f ca="1"/>
        <v>#REF!</v>
      </c>
      <c r="F339" s="30" t="e">
        <f ca="1"/>
        <v>#REF!</v>
      </c>
      <c r="G339" s="29" t="e">
        <f ca="1"/>
        <v>#REF!</v>
      </c>
      <c r="H339" s="30" t="e">
        <f ca="1"/>
        <v>#REF!</v>
      </c>
      <c r="I339" s="29" t="e">
        <f ca="1"/>
        <v>#REF!</v>
      </c>
      <c r="J339" s="29" t="e">
        <f ca="1"/>
        <v>#REF!</v>
      </c>
      <c r="K339" s="29" t="e">
        <f ca="1"/>
        <v>#REF!</v>
      </c>
      <c r="L339" s="29" t="e">
        <f ca="1"/>
        <v>#REF!</v>
      </c>
      <c r="M339" s="29" t="e">
        <f ca="1"/>
        <v>#REF!</v>
      </c>
      <c r="N339" s="29" t="e">
        <f ca="1"/>
        <v>#REF!</v>
      </c>
      <c r="O339" s="2" t="e">
        <f ca="1"/>
        <v>#N/A</v>
      </c>
      <c r="P339" s="2" t="e">
        <f ca="1"/>
        <v>#N/A</v>
      </c>
      <c r="Q339" s="2" t="s">
        <v>5</v>
      </c>
      <c r="R339" s="2" t="s">
        <v>5</v>
      </c>
      <c r="U339" s="2"/>
      <c r="V339" s="2" t="s">
        <v>5</v>
      </c>
      <c r="W339" s="2" t="s">
        <v>5</v>
      </c>
      <c r="X339" s="29" t="s">
        <v>5</v>
      </c>
      <c r="Y339" s="30" t="s">
        <v>5</v>
      </c>
      <c r="Z339" s="29" t="s">
        <v>5</v>
      </c>
      <c r="AA339" s="30" t="s">
        <v>5</v>
      </c>
      <c r="AB339" s="29" t="s">
        <v>5</v>
      </c>
      <c r="AC339" s="29" t="s">
        <v>5</v>
      </c>
      <c r="AD339" s="29" t="s">
        <v>5</v>
      </c>
      <c r="AE339" s="29" t="s">
        <v>5</v>
      </c>
      <c r="AF339" s="29" t="s">
        <v>5</v>
      </c>
      <c r="AG339" s="29" t="s">
        <v>5</v>
      </c>
      <c r="AH339" s="2" t="s">
        <v>5</v>
      </c>
      <c r="AI339" s="2" t="s">
        <v>5</v>
      </c>
      <c r="AJ339" s="2" t="s">
        <v>5</v>
      </c>
      <c r="AK339" s="2" t="s">
        <v>5</v>
      </c>
    </row>
    <row r="340" spans="2:37" ht="12.5">
      <c r="B340" s="2" t="str">
        <f ca="1">IFERROR(__xludf.DUMMYFUNCTION("""COMPUTED_VALUE"""),"泉陽高")</f>
        <v>泉陽高</v>
      </c>
      <c r="C340" s="2" t="e">
        <f ca="1"/>
        <v>#N/A</v>
      </c>
      <c r="D340" s="2" t="e">
        <f ca="1"/>
        <v>#REF!</v>
      </c>
      <c r="E340" s="29" t="e">
        <f ca="1"/>
        <v>#REF!</v>
      </c>
      <c r="F340" s="30" t="e">
        <f ca="1"/>
        <v>#REF!</v>
      </c>
      <c r="G340" s="29" t="e">
        <f ca="1"/>
        <v>#REF!</v>
      </c>
      <c r="H340" s="30" t="e">
        <f ca="1"/>
        <v>#REF!</v>
      </c>
      <c r="I340" s="29" t="e">
        <f ca="1"/>
        <v>#REF!</v>
      </c>
      <c r="J340" s="29" t="e">
        <f ca="1"/>
        <v>#REF!</v>
      </c>
      <c r="K340" s="29" t="e">
        <f ca="1"/>
        <v>#REF!</v>
      </c>
      <c r="L340" s="29" t="e">
        <f ca="1"/>
        <v>#REF!</v>
      </c>
      <c r="M340" s="29" t="e">
        <f ca="1"/>
        <v>#REF!</v>
      </c>
      <c r="N340" s="29" t="e">
        <f ca="1"/>
        <v>#REF!</v>
      </c>
      <c r="O340" s="2" t="e">
        <f ca="1"/>
        <v>#N/A</v>
      </c>
      <c r="P340" s="2" t="e">
        <f ca="1"/>
        <v>#N/A</v>
      </c>
      <c r="Q340" s="2" t="s">
        <v>5</v>
      </c>
      <c r="R340" s="2" t="s">
        <v>5</v>
      </c>
      <c r="U340" s="2"/>
      <c r="V340" s="2" t="s">
        <v>5</v>
      </c>
      <c r="W340" s="2" t="s">
        <v>5</v>
      </c>
      <c r="X340" s="29" t="s">
        <v>5</v>
      </c>
      <c r="Y340" s="30" t="s">
        <v>5</v>
      </c>
      <c r="Z340" s="29" t="s">
        <v>5</v>
      </c>
      <c r="AA340" s="30" t="s">
        <v>5</v>
      </c>
      <c r="AB340" s="29" t="s">
        <v>5</v>
      </c>
      <c r="AC340" s="29" t="s">
        <v>5</v>
      </c>
      <c r="AD340" s="29" t="s">
        <v>5</v>
      </c>
      <c r="AE340" s="29" t="s">
        <v>5</v>
      </c>
      <c r="AF340" s="29" t="s">
        <v>5</v>
      </c>
      <c r="AG340" s="29" t="s">
        <v>5</v>
      </c>
      <c r="AH340" s="2" t="s">
        <v>5</v>
      </c>
      <c r="AI340" s="2" t="s">
        <v>5</v>
      </c>
      <c r="AJ340" s="2" t="s">
        <v>5</v>
      </c>
      <c r="AK340" s="2" t="s">
        <v>5</v>
      </c>
    </row>
    <row r="341" spans="2:37" ht="12.5">
      <c r="B341" s="2" t="str">
        <f ca="1">IFERROR(__xludf.DUMMYFUNCTION("""COMPUTED_VALUE"""),"葺合高")</f>
        <v>葺合高</v>
      </c>
      <c r="C341" s="2" t="e">
        <f ca="1"/>
        <v>#N/A</v>
      </c>
      <c r="D341" s="2" t="e">
        <f ca="1"/>
        <v>#REF!</v>
      </c>
      <c r="E341" s="29" t="e">
        <f ca="1"/>
        <v>#REF!</v>
      </c>
      <c r="F341" s="30" t="e">
        <f ca="1"/>
        <v>#REF!</v>
      </c>
      <c r="G341" s="29" t="e">
        <f ca="1"/>
        <v>#REF!</v>
      </c>
      <c r="H341" s="30" t="e">
        <f ca="1"/>
        <v>#REF!</v>
      </c>
      <c r="I341" s="29" t="e">
        <f ca="1"/>
        <v>#REF!</v>
      </c>
      <c r="J341" s="29" t="e">
        <f ca="1"/>
        <v>#REF!</v>
      </c>
      <c r="K341" s="29" t="e">
        <f ca="1"/>
        <v>#REF!</v>
      </c>
      <c r="L341" s="29" t="e">
        <f ca="1"/>
        <v>#REF!</v>
      </c>
      <c r="M341" s="29" t="e">
        <f ca="1"/>
        <v>#REF!</v>
      </c>
      <c r="N341" s="29" t="e">
        <f ca="1"/>
        <v>#REF!</v>
      </c>
      <c r="O341" s="2" t="e">
        <f ca="1"/>
        <v>#N/A</v>
      </c>
      <c r="P341" s="2" t="e">
        <f ca="1"/>
        <v>#N/A</v>
      </c>
      <c r="Q341" s="2" t="s">
        <v>5</v>
      </c>
      <c r="R341" s="2" t="s">
        <v>5</v>
      </c>
      <c r="U341" s="2"/>
      <c r="V341" s="2" t="s">
        <v>5</v>
      </c>
      <c r="W341" s="2" t="s">
        <v>5</v>
      </c>
      <c r="X341" s="29" t="s">
        <v>5</v>
      </c>
      <c r="Y341" s="30" t="s">
        <v>5</v>
      </c>
      <c r="Z341" s="29" t="s">
        <v>5</v>
      </c>
      <c r="AA341" s="30" t="s">
        <v>5</v>
      </c>
      <c r="AB341" s="29" t="s">
        <v>5</v>
      </c>
      <c r="AC341" s="29" t="s">
        <v>5</v>
      </c>
      <c r="AD341" s="29" t="s">
        <v>5</v>
      </c>
      <c r="AE341" s="29" t="s">
        <v>5</v>
      </c>
      <c r="AF341" s="29" t="s">
        <v>5</v>
      </c>
      <c r="AG341" s="29" t="s">
        <v>5</v>
      </c>
      <c r="AH341" s="2" t="s">
        <v>5</v>
      </c>
      <c r="AI341" s="2" t="s">
        <v>5</v>
      </c>
      <c r="AJ341" s="2" t="s">
        <v>5</v>
      </c>
      <c r="AK341" s="2" t="s">
        <v>5</v>
      </c>
    </row>
    <row r="342" spans="2:37" ht="12.5">
      <c r="C342" s="2" t="str">
        <f ca="1"/>
        <v/>
      </c>
      <c r="D342" s="2" t="str">
        <v/>
      </c>
      <c r="E342" s="29" t="str">
        <v/>
      </c>
      <c r="F342" s="30" t="str">
        <v/>
      </c>
      <c r="G342" s="29" t="str">
        <v/>
      </c>
      <c r="H342" s="30" t="str">
        <v/>
      </c>
      <c r="I342" s="29" t="str">
        <v/>
      </c>
      <c r="J342" s="29" t="str">
        <v/>
      </c>
      <c r="K342" s="29" t="str">
        <v/>
      </c>
      <c r="L342" s="29" t="str">
        <v/>
      </c>
      <c r="M342" s="29" t="str">
        <v/>
      </c>
      <c r="N342" s="29" t="str">
        <v/>
      </c>
      <c r="O342" s="2" t="str">
        <f ca="1"/>
        <v/>
      </c>
      <c r="P342" s="2" t="str">
        <f ca="1"/>
        <v/>
      </c>
      <c r="Q342" s="2" t="s">
        <v>5</v>
      </c>
      <c r="R342" s="2" t="s">
        <v>5</v>
      </c>
      <c r="U342" s="2"/>
      <c r="V342" s="2" t="s">
        <v>5</v>
      </c>
      <c r="W342" s="2" t="s">
        <v>5</v>
      </c>
      <c r="X342" s="29" t="s">
        <v>5</v>
      </c>
      <c r="Y342" s="30" t="s">
        <v>5</v>
      </c>
      <c r="Z342" s="29" t="s">
        <v>5</v>
      </c>
      <c r="AA342" s="30" t="s">
        <v>5</v>
      </c>
      <c r="AB342" s="29" t="s">
        <v>5</v>
      </c>
      <c r="AC342" s="29" t="s">
        <v>5</v>
      </c>
      <c r="AD342" s="29" t="s">
        <v>5</v>
      </c>
      <c r="AE342" s="29" t="s">
        <v>5</v>
      </c>
      <c r="AF342" s="29" t="s">
        <v>5</v>
      </c>
      <c r="AG342" s="29" t="s">
        <v>5</v>
      </c>
      <c r="AH342" s="2" t="s">
        <v>5</v>
      </c>
      <c r="AI342" s="2" t="s">
        <v>5</v>
      </c>
      <c r="AJ342" s="2" t="s">
        <v>5</v>
      </c>
      <c r="AK342" s="2" t="s">
        <v>5</v>
      </c>
    </row>
    <row r="343" spans="2:37" ht="12.5">
      <c r="C343" s="2" t="str">
        <f ca="1"/>
        <v/>
      </c>
      <c r="D343" s="2" t="str">
        <v/>
      </c>
      <c r="E343" s="29" t="str">
        <v/>
      </c>
      <c r="F343" s="30" t="str">
        <v/>
      </c>
      <c r="G343" s="29" t="str">
        <v/>
      </c>
      <c r="H343" s="30" t="str">
        <v/>
      </c>
      <c r="I343" s="29" t="str">
        <v/>
      </c>
      <c r="J343" s="29" t="str">
        <v/>
      </c>
      <c r="K343" s="29" t="str">
        <v/>
      </c>
      <c r="L343" s="29" t="str">
        <v/>
      </c>
      <c r="M343" s="29" t="str">
        <v/>
      </c>
      <c r="N343" s="29" t="str">
        <v/>
      </c>
      <c r="O343" s="2" t="str">
        <f ca="1"/>
        <v/>
      </c>
      <c r="P343" s="2" t="str">
        <f ca="1"/>
        <v/>
      </c>
      <c r="Q343" s="2" t="s">
        <v>5</v>
      </c>
      <c r="R343" s="2" t="s">
        <v>5</v>
      </c>
      <c r="U343" s="2"/>
      <c r="V343" s="2" t="s">
        <v>5</v>
      </c>
      <c r="W343" s="2" t="s">
        <v>5</v>
      </c>
      <c r="X343" s="29" t="s">
        <v>5</v>
      </c>
      <c r="Y343" s="30" t="s">
        <v>5</v>
      </c>
      <c r="Z343" s="29" t="s">
        <v>5</v>
      </c>
      <c r="AA343" s="30" t="s">
        <v>5</v>
      </c>
      <c r="AB343" s="29" t="s">
        <v>5</v>
      </c>
      <c r="AC343" s="29" t="s">
        <v>5</v>
      </c>
      <c r="AD343" s="29" t="s">
        <v>5</v>
      </c>
      <c r="AE343" s="29" t="s">
        <v>5</v>
      </c>
      <c r="AF343" s="29" t="s">
        <v>5</v>
      </c>
      <c r="AG343" s="29" t="s">
        <v>5</v>
      </c>
      <c r="AH343" s="2" t="s">
        <v>5</v>
      </c>
      <c r="AI343" s="2" t="s">
        <v>5</v>
      </c>
      <c r="AJ343" s="2" t="s">
        <v>5</v>
      </c>
      <c r="AK343" s="2" t="s">
        <v>5</v>
      </c>
    </row>
    <row r="344" spans="2:37" ht="12.5">
      <c r="C344" s="2" t="str">
        <f ca="1"/>
        <v/>
      </c>
      <c r="D344" s="2" t="str">
        <v/>
      </c>
      <c r="E344" s="29" t="str">
        <v/>
      </c>
      <c r="F344" s="30" t="str">
        <v/>
      </c>
      <c r="G344" s="29" t="str">
        <v/>
      </c>
      <c r="H344" s="30" t="str">
        <v/>
      </c>
      <c r="I344" s="29" t="str">
        <v/>
      </c>
      <c r="J344" s="29" t="str">
        <v/>
      </c>
      <c r="K344" s="29" t="str">
        <v/>
      </c>
      <c r="L344" s="29" t="str">
        <v/>
      </c>
      <c r="M344" s="29" t="str">
        <v/>
      </c>
      <c r="N344" s="29" t="str">
        <v/>
      </c>
      <c r="O344" s="2" t="str">
        <f ca="1"/>
        <v/>
      </c>
      <c r="P344" s="2" t="str">
        <f ca="1"/>
        <v/>
      </c>
      <c r="Q344" s="2" t="s">
        <v>5</v>
      </c>
      <c r="R344" s="2" t="s">
        <v>5</v>
      </c>
      <c r="U344" s="2"/>
      <c r="V344" s="2" t="s">
        <v>5</v>
      </c>
      <c r="W344" s="2" t="s">
        <v>5</v>
      </c>
      <c r="X344" s="29" t="s">
        <v>5</v>
      </c>
      <c r="Y344" s="30" t="s">
        <v>5</v>
      </c>
      <c r="Z344" s="29" t="s">
        <v>5</v>
      </c>
      <c r="AA344" s="30" t="s">
        <v>5</v>
      </c>
      <c r="AB344" s="29" t="s">
        <v>5</v>
      </c>
      <c r="AC344" s="29" t="s">
        <v>5</v>
      </c>
      <c r="AD344" s="29" t="s">
        <v>5</v>
      </c>
      <c r="AE344" s="29" t="s">
        <v>5</v>
      </c>
      <c r="AF344" s="29" t="s">
        <v>5</v>
      </c>
      <c r="AG344" s="29" t="s">
        <v>5</v>
      </c>
      <c r="AH344" s="2" t="s">
        <v>5</v>
      </c>
      <c r="AI344" s="2" t="s">
        <v>5</v>
      </c>
      <c r="AJ344" s="2" t="s">
        <v>5</v>
      </c>
      <c r="AK344" s="2" t="s">
        <v>5</v>
      </c>
    </row>
    <row r="345" spans="2:37" ht="12.5">
      <c r="C345" s="2" t="str">
        <f ca="1"/>
        <v/>
      </c>
      <c r="D345" s="2" t="str">
        <v/>
      </c>
      <c r="E345" s="29" t="str">
        <v/>
      </c>
      <c r="F345" s="30" t="str">
        <v/>
      </c>
      <c r="G345" s="29" t="str">
        <v/>
      </c>
      <c r="H345" s="30" t="str">
        <v/>
      </c>
      <c r="I345" s="29" t="str">
        <v/>
      </c>
      <c r="J345" s="29" t="str">
        <v/>
      </c>
      <c r="K345" s="29" t="str">
        <v/>
      </c>
      <c r="L345" s="29" t="str">
        <v/>
      </c>
      <c r="M345" s="29" t="str">
        <v/>
      </c>
      <c r="N345" s="29" t="str">
        <v/>
      </c>
      <c r="O345" s="2" t="str">
        <f ca="1"/>
        <v/>
      </c>
      <c r="P345" s="2" t="str">
        <f ca="1"/>
        <v/>
      </c>
      <c r="Q345" s="2" t="s">
        <v>5</v>
      </c>
      <c r="R345" s="2" t="s">
        <v>5</v>
      </c>
      <c r="U345" s="2"/>
      <c r="V345" s="2" t="s">
        <v>5</v>
      </c>
      <c r="W345" s="2" t="s">
        <v>5</v>
      </c>
      <c r="X345" s="29" t="s">
        <v>5</v>
      </c>
      <c r="Y345" s="30" t="s">
        <v>5</v>
      </c>
      <c r="Z345" s="29" t="s">
        <v>5</v>
      </c>
      <c r="AA345" s="30" t="s">
        <v>5</v>
      </c>
      <c r="AB345" s="29" t="s">
        <v>5</v>
      </c>
      <c r="AC345" s="29" t="s">
        <v>5</v>
      </c>
      <c r="AD345" s="29" t="s">
        <v>5</v>
      </c>
      <c r="AE345" s="29" t="s">
        <v>5</v>
      </c>
      <c r="AF345" s="29" t="s">
        <v>5</v>
      </c>
      <c r="AG345" s="29" t="s">
        <v>5</v>
      </c>
      <c r="AH345" s="2" t="s">
        <v>5</v>
      </c>
      <c r="AI345" s="2" t="s">
        <v>5</v>
      </c>
      <c r="AJ345" s="2" t="s">
        <v>5</v>
      </c>
      <c r="AK345" s="2" t="s">
        <v>5</v>
      </c>
    </row>
    <row r="346" spans="2:37" ht="12.5">
      <c r="C346" s="2" t="str">
        <f ca="1"/>
        <v/>
      </c>
      <c r="D346" s="2" t="str">
        <v/>
      </c>
      <c r="E346" s="29" t="str">
        <v/>
      </c>
      <c r="F346" s="30" t="str">
        <v/>
      </c>
      <c r="G346" s="29" t="str">
        <v/>
      </c>
      <c r="H346" s="30" t="str">
        <v/>
      </c>
      <c r="I346" s="29" t="str">
        <v/>
      </c>
      <c r="J346" s="29" t="str">
        <v/>
      </c>
      <c r="K346" s="29" t="str">
        <v/>
      </c>
      <c r="L346" s="29" t="str">
        <v/>
      </c>
      <c r="M346" s="29" t="str">
        <v/>
      </c>
      <c r="N346" s="29" t="str">
        <v/>
      </c>
      <c r="O346" s="2" t="str">
        <f ca="1"/>
        <v/>
      </c>
      <c r="P346" s="2" t="str">
        <f ca="1"/>
        <v/>
      </c>
      <c r="Q346" s="2" t="s">
        <v>5</v>
      </c>
      <c r="R346" s="2" t="s">
        <v>5</v>
      </c>
      <c r="U346" s="2"/>
      <c r="V346" s="2" t="s">
        <v>5</v>
      </c>
      <c r="W346" s="2" t="s">
        <v>5</v>
      </c>
      <c r="X346" s="29" t="s">
        <v>5</v>
      </c>
      <c r="Y346" s="30" t="s">
        <v>5</v>
      </c>
      <c r="Z346" s="29" t="s">
        <v>5</v>
      </c>
      <c r="AA346" s="30" t="s">
        <v>5</v>
      </c>
      <c r="AB346" s="29" t="s">
        <v>5</v>
      </c>
      <c r="AC346" s="29" t="s">
        <v>5</v>
      </c>
      <c r="AD346" s="29" t="s">
        <v>5</v>
      </c>
      <c r="AE346" s="29" t="s">
        <v>5</v>
      </c>
      <c r="AF346" s="29" t="s">
        <v>5</v>
      </c>
      <c r="AG346" s="29" t="s">
        <v>5</v>
      </c>
      <c r="AH346" s="2" t="s">
        <v>5</v>
      </c>
      <c r="AI346" s="2" t="s">
        <v>5</v>
      </c>
      <c r="AJ346" s="2" t="s">
        <v>5</v>
      </c>
      <c r="AK346" s="2" t="s">
        <v>5</v>
      </c>
    </row>
    <row r="347" spans="2:37" ht="12.5">
      <c r="C347" s="2" t="str">
        <f ca="1"/>
        <v/>
      </c>
      <c r="D347" s="2" t="str">
        <v/>
      </c>
      <c r="E347" s="29" t="str">
        <v/>
      </c>
      <c r="F347" s="30" t="str">
        <v/>
      </c>
      <c r="G347" s="29" t="str">
        <v/>
      </c>
      <c r="H347" s="30" t="str">
        <v/>
      </c>
      <c r="I347" s="29" t="str">
        <v/>
      </c>
      <c r="J347" s="29" t="str">
        <v/>
      </c>
      <c r="K347" s="29" t="str">
        <v/>
      </c>
      <c r="L347" s="29" t="str">
        <v/>
      </c>
      <c r="M347" s="29" t="str">
        <v/>
      </c>
      <c r="N347" s="29" t="str">
        <v/>
      </c>
      <c r="O347" s="2" t="str">
        <f ca="1"/>
        <v/>
      </c>
      <c r="P347" s="2" t="str">
        <f ca="1"/>
        <v/>
      </c>
      <c r="Q347" s="2" t="s">
        <v>5</v>
      </c>
      <c r="R347" s="2" t="s">
        <v>5</v>
      </c>
      <c r="U347" s="2"/>
      <c r="V347" s="2" t="s">
        <v>5</v>
      </c>
      <c r="W347" s="2" t="s">
        <v>5</v>
      </c>
      <c r="X347" s="29" t="s">
        <v>5</v>
      </c>
      <c r="Y347" s="30" t="s">
        <v>5</v>
      </c>
      <c r="Z347" s="29" t="s">
        <v>5</v>
      </c>
      <c r="AA347" s="30" t="s">
        <v>5</v>
      </c>
      <c r="AB347" s="29" t="s">
        <v>5</v>
      </c>
      <c r="AC347" s="29" t="s">
        <v>5</v>
      </c>
      <c r="AD347" s="29" t="s">
        <v>5</v>
      </c>
      <c r="AE347" s="29" t="s">
        <v>5</v>
      </c>
      <c r="AF347" s="29" t="s">
        <v>5</v>
      </c>
      <c r="AG347" s="29" t="s">
        <v>5</v>
      </c>
      <c r="AH347" s="2" t="s">
        <v>5</v>
      </c>
      <c r="AI347" s="2" t="s">
        <v>5</v>
      </c>
      <c r="AJ347" s="2" t="s">
        <v>5</v>
      </c>
      <c r="AK347" s="2" t="s">
        <v>5</v>
      </c>
    </row>
    <row r="348" spans="2:37" ht="12.5">
      <c r="C348" s="2" t="str">
        <f ca="1"/>
        <v/>
      </c>
      <c r="D348" s="2" t="str">
        <v/>
      </c>
      <c r="E348" s="29" t="str">
        <v/>
      </c>
      <c r="F348" s="30" t="str">
        <v/>
      </c>
      <c r="G348" s="29" t="str">
        <v/>
      </c>
      <c r="H348" s="30" t="str">
        <v/>
      </c>
      <c r="I348" s="29" t="str">
        <v/>
      </c>
      <c r="J348" s="29" t="str">
        <v/>
      </c>
      <c r="K348" s="29" t="str">
        <v/>
      </c>
      <c r="L348" s="29" t="str">
        <v/>
      </c>
      <c r="M348" s="29" t="str">
        <v/>
      </c>
      <c r="N348" s="29" t="str">
        <v/>
      </c>
      <c r="O348" s="2" t="str">
        <f ca="1"/>
        <v/>
      </c>
      <c r="P348" s="2" t="str">
        <f ca="1"/>
        <v/>
      </c>
      <c r="Q348" s="2" t="s">
        <v>5</v>
      </c>
      <c r="R348" s="2" t="s">
        <v>5</v>
      </c>
      <c r="U348" s="2"/>
      <c r="V348" s="2" t="s">
        <v>5</v>
      </c>
      <c r="W348" s="2" t="s">
        <v>5</v>
      </c>
      <c r="X348" s="29" t="s">
        <v>5</v>
      </c>
      <c r="Y348" s="30" t="s">
        <v>5</v>
      </c>
      <c r="Z348" s="29" t="s">
        <v>5</v>
      </c>
      <c r="AA348" s="30" t="s">
        <v>5</v>
      </c>
      <c r="AB348" s="29" t="s">
        <v>5</v>
      </c>
      <c r="AC348" s="29" t="s">
        <v>5</v>
      </c>
      <c r="AD348" s="29" t="s">
        <v>5</v>
      </c>
      <c r="AE348" s="29" t="s">
        <v>5</v>
      </c>
      <c r="AF348" s="29" t="s">
        <v>5</v>
      </c>
      <c r="AG348" s="29" t="s">
        <v>5</v>
      </c>
      <c r="AH348" s="2" t="s">
        <v>5</v>
      </c>
      <c r="AI348" s="2" t="s">
        <v>5</v>
      </c>
      <c r="AJ348" s="2" t="s">
        <v>5</v>
      </c>
      <c r="AK348" s="2" t="s">
        <v>5</v>
      </c>
    </row>
    <row r="349" spans="2:37" ht="12.5">
      <c r="C349" s="2" t="str">
        <f ca="1"/>
        <v/>
      </c>
      <c r="D349" s="2" t="str">
        <v/>
      </c>
      <c r="E349" s="29" t="str">
        <v/>
      </c>
      <c r="F349" s="30" t="str">
        <v/>
      </c>
      <c r="G349" s="29" t="str">
        <v/>
      </c>
      <c r="H349" s="30" t="str">
        <v/>
      </c>
      <c r="I349" s="29" t="str">
        <v/>
      </c>
      <c r="J349" s="29" t="str">
        <v/>
      </c>
      <c r="K349" s="29" t="str">
        <v/>
      </c>
      <c r="L349" s="29" t="str">
        <v/>
      </c>
      <c r="M349" s="29" t="str">
        <v/>
      </c>
      <c r="N349" s="29" t="str">
        <v/>
      </c>
      <c r="O349" s="2" t="str">
        <f ca="1"/>
        <v/>
      </c>
      <c r="P349" s="2" t="str">
        <f ca="1"/>
        <v/>
      </c>
      <c r="Q349" s="2" t="s">
        <v>5</v>
      </c>
      <c r="R349" s="2" t="s">
        <v>5</v>
      </c>
      <c r="U349" s="2"/>
      <c r="V349" s="2" t="s">
        <v>5</v>
      </c>
      <c r="W349" s="2" t="s">
        <v>5</v>
      </c>
      <c r="X349" s="29" t="s">
        <v>5</v>
      </c>
      <c r="Y349" s="30" t="s">
        <v>5</v>
      </c>
      <c r="Z349" s="29" t="s">
        <v>5</v>
      </c>
      <c r="AA349" s="30" t="s">
        <v>5</v>
      </c>
      <c r="AB349" s="29" t="s">
        <v>5</v>
      </c>
      <c r="AC349" s="29" t="s">
        <v>5</v>
      </c>
      <c r="AD349" s="29" t="s">
        <v>5</v>
      </c>
      <c r="AE349" s="29" t="s">
        <v>5</v>
      </c>
      <c r="AF349" s="29" t="s">
        <v>5</v>
      </c>
      <c r="AG349" s="29" t="s">
        <v>5</v>
      </c>
      <c r="AH349" s="2" t="s">
        <v>5</v>
      </c>
      <c r="AI349" s="2" t="s">
        <v>5</v>
      </c>
      <c r="AJ349" s="2" t="s">
        <v>5</v>
      </c>
      <c r="AK349" s="2" t="s">
        <v>5</v>
      </c>
    </row>
    <row r="350" spans="2:37" ht="12.5">
      <c r="C350" s="2" t="str">
        <f ca="1"/>
        <v/>
      </c>
      <c r="D350" s="2" t="str">
        <v/>
      </c>
      <c r="E350" s="29" t="str">
        <v/>
      </c>
      <c r="F350" s="30" t="str">
        <v/>
      </c>
      <c r="G350" s="29" t="str">
        <v/>
      </c>
      <c r="H350" s="30" t="str">
        <v/>
      </c>
      <c r="I350" s="29" t="str">
        <v/>
      </c>
      <c r="J350" s="29" t="str">
        <v/>
      </c>
      <c r="K350" s="29" t="str">
        <v/>
      </c>
      <c r="L350" s="29" t="str">
        <v/>
      </c>
      <c r="M350" s="29" t="str">
        <v/>
      </c>
      <c r="N350" s="29" t="str">
        <v/>
      </c>
      <c r="O350" s="2" t="str">
        <f ca="1"/>
        <v/>
      </c>
      <c r="P350" s="2" t="str">
        <f ca="1"/>
        <v/>
      </c>
      <c r="Q350" s="2" t="s">
        <v>5</v>
      </c>
      <c r="R350" s="2" t="s">
        <v>5</v>
      </c>
      <c r="U350" s="2"/>
      <c r="V350" s="2" t="s">
        <v>5</v>
      </c>
      <c r="W350" s="2" t="s">
        <v>5</v>
      </c>
      <c r="X350" s="29" t="s">
        <v>5</v>
      </c>
      <c r="Y350" s="30" t="s">
        <v>5</v>
      </c>
      <c r="Z350" s="29" t="s">
        <v>5</v>
      </c>
      <c r="AA350" s="30" t="s">
        <v>5</v>
      </c>
      <c r="AB350" s="29" t="s">
        <v>5</v>
      </c>
      <c r="AC350" s="29" t="s">
        <v>5</v>
      </c>
      <c r="AD350" s="29" t="s">
        <v>5</v>
      </c>
      <c r="AE350" s="29" t="s">
        <v>5</v>
      </c>
      <c r="AF350" s="29" t="s">
        <v>5</v>
      </c>
      <c r="AG350" s="29" t="s">
        <v>5</v>
      </c>
      <c r="AH350" s="2" t="s">
        <v>5</v>
      </c>
      <c r="AI350" s="2" t="s">
        <v>5</v>
      </c>
      <c r="AJ350" s="2" t="s">
        <v>5</v>
      </c>
      <c r="AK350" s="2" t="s">
        <v>5</v>
      </c>
    </row>
    <row r="351" spans="2:37" ht="12.5">
      <c r="C351" s="2" t="str">
        <f ca="1"/>
        <v/>
      </c>
      <c r="D351" s="2" t="str">
        <v/>
      </c>
      <c r="E351" s="29" t="str">
        <v/>
      </c>
      <c r="F351" s="30" t="str">
        <v/>
      </c>
      <c r="G351" s="29" t="str">
        <v/>
      </c>
      <c r="H351" s="30" t="str">
        <v/>
      </c>
      <c r="I351" s="29" t="str">
        <v/>
      </c>
      <c r="J351" s="29" t="str">
        <v/>
      </c>
      <c r="K351" s="29" t="str">
        <v/>
      </c>
      <c r="L351" s="29" t="str">
        <v/>
      </c>
      <c r="M351" s="29" t="str">
        <v/>
      </c>
      <c r="N351" s="29" t="str">
        <v/>
      </c>
      <c r="O351" s="2" t="str">
        <f ca="1"/>
        <v/>
      </c>
      <c r="P351" s="2" t="str">
        <f ca="1"/>
        <v/>
      </c>
      <c r="Q351" s="2" t="s">
        <v>5</v>
      </c>
      <c r="R351" s="2" t="s">
        <v>5</v>
      </c>
      <c r="U351" s="2"/>
      <c r="V351" s="2" t="s">
        <v>5</v>
      </c>
      <c r="W351" s="2" t="s">
        <v>5</v>
      </c>
      <c r="X351" s="29" t="s">
        <v>5</v>
      </c>
      <c r="Y351" s="30" t="s">
        <v>5</v>
      </c>
      <c r="Z351" s="29" t="s">
        <v>5</v>
      </c>
      <c r="AA351" s="30" t="s">
        <v>5</v>
      </c>
      <c r="AB351" s="29" t="s">
        <v>5</v>
      </c>
      <c r="AC351" s="29" t="s">
        <v>5</v>
      </c>
      <c r="AD351" s="29" t="s">
        <v>5</v>
      </c>
      <c r="AE351" s="29" t="s">
        <v>5</v>
      </c>
      <c r="AF351" s="29" t="s">
        <v>5</v>
      </c>
      <c r="AG351" s="29" t="s">
        <v>5</v>
      </c>
      <c r="AH351" s="2" t="s">
        <v>5</v>
      </c>
      <c r="AI351" s="2" t="s">
        <v>5</v>
      </c>
      <c r="AJ351" s="2" t="s">
        <v>5</v>
      </c>
      <c r="AK351" s="2" t="s">
        <v>5</v>
      </c>
    </row>
    <row r="352" spans="2:37" ht="12.5">
      <c r="C352" s="2" t="str">
        <f ca="1"/>
        <v/>
      </c>
      <c r="D352" s="2" t="str">
        <v/>
      </c>
      <c r="E352" s="29" t="str">
        <v/>
      </c>
      <c r="F352" s="30" t="str">
        <v/>
      </c>
      <c r="G352" s="29" t="str">
        <v/>
      </c>
      <c r="H352" s="30" t="str">
        <v/>
      </c>
      <c r="I352" s="29" t="str">
        <v/>
      </c>
      <c r="J352" s="29" t="str">
        <v/>
      </c>
      <c r="K352" s="29" t="str">
        <v/>
      </c>
      <c r="L352" s="29" t="str">
        <v/>
      </c>
      <c r="M352" s="29" t="str">
        <v/>
      </c>
      <c r="N352" s="29" t="str">
        <v/>
      </c>
      <c r="O352" s="2" t="str">
        <f ca="1"/>
        <v/>
      </c>
      <c r="P352" s="2" t="str">
        <f ca="1"/>
        <v/>
      </c>
      <c r="Q352" s="2" t="s">
        <v>5</v>
      </c>
      <c r="R352" s="2" t="s">
        <v>5</v>
      </c>
      <c r="U352" s="2"/>
      <c r="V352" s="2" t="s">
        <v>5</v>
      </c>
      <c r="W352" s="2" t="s">
        <v>5</v>
      </c>
      <c r="X352" s="29" t="s">
        <v>5</v>
      </c>
      <c r="Y352" s="30" t="s">
        <v>5</v>
      </c>
      <c r="Z352" s="29" t="s">
        <v>5</v>
      </c>
      <c r="AA352" s="30" t="s">
        <v>5</v>
      </c>
      <c r="AB352" s="29" t="s">
        <v>5</v>
      </c>
      <c r="AC352" s="29" t="s">
        <v>5</v>
      </c>
      <c r="AD352" s="29" t="s">
        <v>5</v>
      </c>
      <c r="AE352" s="29" t="s">
        <v>5</v>
      </c>
      <c r="AF352" s="29" t="s">
        <v>5</v>
      </c>
      <c r="AG352" s="29" t="s">
        <v>5</v>
      </c>
      <c r="AH352" s="2" t="s">
        <v>5</v>
      </c>
      <c r="AI352" s="2" t="s">
        <v>5</v>
      </c>
      <c r="AJ352" s="2" t="s">
        <v>5</v>
      </c>
      <c r="AK352" s="2" t="s">
        <v>5</v>
      </c>
    </row>
    <row r="353" spans="3:37" ht="12.5">
      <c r="C353" s="2" t="str">
        <f ca="1"/>
        <v/>
      </c>
      <c r="D353" s="2" t="str">
        <v/>
      </c>
      <c r="E353" s="29" t="str">
        <v/>
      </c>
      <c r="F353" s="30" t="str">
        <v/>
      </c>
      <c r="G353" s="29" t="str">
        <v/>
      </c>
      <c r="H353" s="30" t="str">
        <v/>
      </c>
      <c r="I353" s="29" t="str">
        <v/>
      </c>
      <c r="J353" s="29" t="str">
        <v/>
      </c>
      <c r="K353" s="29" t="str">
        <v/>
      </c>
      <c r="L353" s="29" t="str">
        <v/>
      </c>
      <c r="M353" s="29" t="str">
        <v/>
      </c>
      <c r="N353" s="29" t="str">
        <v/>
      </c>
      <c r="O353" s="2" t="str">
        <f ca="1"/>
        <v/>
      </c>
      <c r="P353" s="2" t="str">
        <f ca="1"/>
        <v/>
      </c>
      <c r="Q353" s="2" t="s">
        <v>5</v>
      </c>
      <c r="R353" s="2" t="s">
        <v>5</v>
      </c>
      <c r="U353" s="2"/>
      <c r="V353" s="2" t="s">
        <v>5</v>
      </c>
      <c r="W353" s="2" t="s">
        <v>5</v>
      </c>
      <c r="X353" s="29" t="s">
        <v>5</v>
      </c>
      <c r="Y353" s="30" t="s">
        <v>5</v>
      </c>
      <c r="Z353" s="29" t="s">
        <v>5</v>
      </c>
      <c r="AA353" s="30" t="s">
        <v>5</v>
      </c>
      <c r="AB353" s="29" t="s">
        <v>5</v>
      </c>
      <c r="AC353" s="29" t="s">
        <v>5</v>
      </c>
      <c r="AD353" s="29" t="s">
        <v>5</v>
      </c>
      <c r="AE353" s="29" t="s">
        <v>5</v>
      </c>
      <c r="AF353" s="29" t="s">
        <v>5</v>
      </c>
      <c r="AG353" s="29" t="s">
        <v>5</v>
      </c>
      <c r="AH353" s="2" t="s">
        <v>5</v>
      </c>
      <c r="AI353" s="2" t="s">
        <v>5</v>
      </c>
      <c r="AJ353" s="2" t="s">
        <v>5</v>
      </c>
      <c r="AK353" s="2" t="s">
        <v>5</v>
      </c>
    </row>
    <row r="354" spans="3:37" ht="12.5">
      <c r="C354" s="2" t="str">
        <f ca="1"/>
        <v/>
      </c>
      <c r="D354" s="2" t="str">
        <v/>
      </c>
      <c r="E354" s="29" t="str">
        <v/>
      </c>
      <c r="F354" s="30" t="str">
        <v/>
      </c>
      <c r="G354" s="29" t="str">
        <v/>
      </c>
      <c r="H354" s="30" t="str">
        <v/>
      </c>
      <c r="I354" s="29" t="str">
        <v/>
      </c>
      <c r="J354" s="29" t="str">
        <v/>
      </c>
      <c r="K354" s="29" t="str">
        <v/>
      </c>
      <c r="L354" s="29" t="str">
        <v/>
      </c>
      <c r="M354" s="29" t="str">
        <v/>
      </c>
      <c r="N354" s="29" t="str">
        <v/>
      </c>
      <c r="O354" s="2" t="str">
        <f ca="1"/>
        <v/>
      </c>
      <c r="P354" s="2" t="str">
        <f ca="1"/>
        <v/>
      </c>
      <c r="Q354" s="2" t="s">
        <v>5</v>
      </c>
      <c r="R354" s="2" t="s">
        <v>5</v>
      </c>
      <c r="U354" s="2"/>
      <c r="V354" s="2" t="s">
        <v>5</v>
      </c>
      <c r="W354" s="2" t="s">
        <v>5</v>
      </c>
      <c r="X354" s="29" t="s">
        <v>5</v>
      </c>
      <c r="Y354" s="30" t="s">
        <v>5</v>
      </c>
      <c r="Z354" s="29" t="s">
        <v>5</v>
      </c>
      <c r="AA354" s="30" t="s">
        <v>5</v>
      </c>
      <c r="AB354" s="29" t="s">
        <v>5</v>
      </c>
      <c r="AC354" s="29" t="s">
        <v>5</v>
      </c>
      <c r="AD354" s="29" t="s">
        <v>5</v>
      </c>
      <c r="AE354" s="29" t="s">
        <v>5</v>
      </c>
      <c r="AF354" s="29" t="s">
        <v>5</v>
      </c>
      <c r="AG354" s="29" t="s">
        <v>5</v>
      </c>
      <c r="AH354" s="2" t="s">
        <v>5</v>
      </c>
      <c r="AI354" s="2" t="s">
        <v>5</v>
      </c>
      <c r="AJ354" s="2" t="s">
        <v>5</v>
      </c>
      <c r="AK354" s="2" t="s">
        <v>5</v>
      </c>
    </row>
    <row r="355" spans="3:37" ht="12.5">
      <c r="C355" s="2" t="str">
        <f ca="1"/>
        <v/>
      </c>
      <c r="D355" s="2" t="str">
        <v/>
      </c>
      <c r="E355" s="29" t="str">
        <v/>
      </c>
      <c r="F355" s="30" t="str">
        <v/>
      </c>
      <c r="G355" s="29" t="str">
        <v/>
      </c>
      <c r="H355" s="30" t="str">
        <v/>
      </c>
      <c r="I355" s="29" t="str">
        <v/>
      </c>
      <c r="J355" s="29" t="str">
        <v/>
      </c>
      <c r="K355" s="29" t="str">
        <v/>
      </c>
      <c r="L355" s="29" t="str">
        <v/>
      </c>
      <c r="M355" s="29" t="str">
        <v/>
      </c>
      <c r="N355" s="29" t="str">
        <v/>
      </c>
      <c r="O355" s="2" t="str">
        <f ca="1"/>
        <v/>
      </c>
      <c r="P355" s="2" t="str">
        <f ca="1"/>
        <v/>
      </c>
      <c r="Q355" s="2" t="s">
        <v>5</v>
      </c>
      <c r="R355" s="2" t="s">
        <v>5</v>
      </c>
      <c r="U355" s="2"/>
      <c r="V355" s="2" t="s">
        <v>5</v>
      </c>
      <c r="W355" s="2" t="s">
        <v>5</v>
      </c>
      <c r="X355" s="29" t="s">
        <v>5</v>
      </c>
      <c r="Y355" s="30" t="s">
        <v>5</v>
      </c>
      <c r="Z355" s="29" t="s">
        <v>5</v>
      </c>
      <c r="AA355" s="30" t="s">
        <v>5</v>
      </c>
      <c r="AB355" s="29" t="s">
        <v>5</v>
      </c>
      <c r="AC355" s="29" t="s">
        <v>5</v>
      </c>
      <c r="AD355" s="29" t="s">
        <v>5</v>
      </c>
      <c r="AE355" s="29" t="s">
        <v>5</v>
      </c>
      <c r="AF355" s="29" t="s">
        <v>5</v>
      </c>
      <c r="AG355" s="29" t="s">
        <v>5</v>
      </c>
      <c r="AH355" s="2" t="s">
        <v>5</v>
      </c>
      <c r="AI355" s="2" t="s">
        <v>5</v>
      </c>
      <c r="AJ355" s="2" t="s">
        <v>5</v>
      </c>
      <c r="AK355" s="2" t="s">
        <v>5</v>
      </c>
    </row>
    <row r="356" spans="3:37" ht="12.5">
      <c r="C356" s="2" t="str">
        <f ca="1"/>
        <v/>
      </c>
      <c r="D356" s="2" t="str">
        <v/>
      </c>
      <c r="E356" s="29" t="str">
        <v/>
      </c>
      <c r="F356" s="30" t="str">
        <v/>
      </c>
      <c r="G356" s="29" t="str">
        <v/>
      </c>
      <c r="H356" s="30" t="str">
        <v/>
      </c>
      <c r="I356" s="29" t="str">
        <v/>
      </c>
      <c r="J356" s="29" t="str">
        <v/>
      </c>
      <c r="K356" s="29" t="str">
        <v/>
      </c>
      <c r="L356" s="29" t="str">
        <v/>
      </c>
      <c r="M356" s="29" t="str">
        <v/>
      </c>
      <c r="N356" s="29" t="str">
        <v/>
      </c>
      <c r="O356" s="2" t="str">
        <f ca="1"/>
        <v/>
      </c>
      <c r="P356" s="2" t="str">
        <f ca="1"/>
        <v/>
      </c>
      <c r="Q356" s="2" t="s">
        <v>5</v>
      </c>
      <c r="R356" s="2" t="s">
        <v>5</v>
      </c>
      <c r="U356" s="2"/>
      <c r="V356" s="2" t="s">
        <v>5</v>
      </c>
      <c r="W356" s="2" t="s">
        <v>5</v>
      </c>
      <c r="X356" s="29" t="s">
        <v>5</v>
      </c>
      <c r="Y356" s="30" t="s">
        <v>5</v>
      </c>
      <c r="Z356" s="29" t="s">
        <v>5</v>
      </c>
      <c r="AA356" s="30" t="s">
        <v>5</v>
      </c>
      <c r="AB356" s="29" t="s">
        <v>5</v>
      </c>
      <c r="AC356" s="29" t="s">
        <v>5</v>
      </c>
      <c r="AD356" s="29" t="s">
        <v>5</v>
      </c>
      <c r="AE356" s="29" t="s">
        <v>5</v>
      </c>
      <c r="AF356" s="29" t="s">
        <v>5</v>
      </c>
      <c r="AG356" s="29" t="s">
        <v>5</v>
      </c>
      <c r="AH356" s="2" t="s">
        <v>5</v>
      </c>
      <c r="AI356" s="2" t="s">
        <v>5</v>
      </c>
      <c r="AJ356" s="2" t="s">
        <v>5</v>
      </c>
      <c r="AK356" s="2" t="s">
        <v>5</v>
      </c>
    </row>
    <row r="357" spans="3:37" ht="12.5">
      <c r="C357" s="2" t="str">
        <f ca="1"/>
        <v/>
      </c>
      <c r="D357" s="2" t="str">
        <v/>
      </c>
      <c r="E357" s="29" t="str">
        <v/>
      </c>
      <c r="F357" s="30" t="str">
        <v/>
      </c>
      <c r="G357" s="29" t="str">
        <v/>
      </c>
      <c r="H357" s="30" t="str">
        <v/>
      </c>
      <c r="I357" s="29" t="str">
        <v/>
      </c>
      <c r="J357" s="29" t="str">
        <v/>
      </c>
      <c r="K357" s="29" t="str">
        <v/>
      </c>
      <c r="L357" s="29" t="str">
        <v/>
      </c>
      <c r="M357" s="29" t="str">
        <v/>
      </c>
      <c r="N357" s="29" t="str">
        <v/>
      </c>
      <c r="O357" s="2" t="str">
        <f ca="1"/>
        <v/>
      </c>
      <c r="P357" s="2" t="str">
        <f ca="1"/>
        <v/>
      </c>
      <c r="Q357" s="2" t="s">
        <v>5</v>
      </c>
      <c r="R357" s="2" t="s">
        <v>5</v>
      </c>
      <c r="U357" s="2"/>
      <c r="V357" s="2" t="s">
        <v>5</v>
      </c>
      <c r="W357" s="2" t="s">
        <v>5</v>
      </c>
      <c r="X357" s="29" t="s">
        <v>5</v>
      </c>
      <c r="Y357" s="30" t="s">
        <v>5</v>
      </c>
      <c r="Z357" s="29" t="s">
        <v>5</v>
      </c>
      <c r="AA357" s="30" t="s">
        <v>5</v>
      </c>
      <c r="AB357" s="29" t="s">
        <v>5</v>
      </c>
      <c r="AC357" s="29" t="s">
        <v>5</v>
      </c>
      <c r="AD357" s="29" t="s">
        <v>5</v>
      </c>
      <c r="AE357" s="29" t="s">
        <v>5</v>
      </c>
      <c r="AF357" s="29" t="s">
        <v>5</v>
      </c>
      <c r="AG357" s="29" t="s">
        <v>5</v>
      </c>
      <c r="AH357" s="2" t="s">
        <v>5</v>
      </c>
      <c r="AI357" s="2" t="s">
        <v>5</v>
      </c>
      <c r="AJ357" s="2" t="s">
        <v>5</v>
      </c>
      <c r="AK357" s="2" t="s">
        <v>5</v>
      </c>
    </row>
    <row r="358" spans="3:37" ht="12.5">
      <c r="C358" s="2" t="str">
        <f ca="1"/>
        <v/>
      </c>
      <c r="D358" s="2" t="str">
        <v/>
      </c>
      <c r="E358" s="29" t="str">
        <v/>
      </c>
      <c r="F358" s="30" t="str">
        <v/>
      </c>
      <c r="G358" s="29" t="str">
        <v/>
      </c>
      <c r="H358" s="30" t="str">
        <v/>
      </c>
      <c r="I358" s="29" t="str">
        <v/>
      </c>
      <c r="J358" s="29" t="str">
        <v/>
      </c>
      <c r="K358" s="29" t="str">
        <v/>
      </c>
      <c r="L358" s="29" t="str">
        <v/>
      </c>
      <c r="M358" s="29" t="str">
        <v/>
      </c>
      <c r="N358" s="29" t="str">
        <v/>
      </c>
      <c r="O358" s="2" t="str">
        <f ca="1"/>
        <v/>
      </c>
      <c r="P358" s="2" t="str">
        <f ca="1"/>
        <v/>
      </c>
      <c r="Q358" s="2" t="s">
        <v>5</v>
      </c>
      <c r="R358" s="2" t="s">
        <v>5</v>
      </c>
      <c r="U358" s="2"/>
      <c r="V358" s="2" t="s">
        <v>5</v>
      </c>
      <c r="W358" s="2" t="s">
        <v>5</v>
      </c>
      <c r="X358" s="29" t="s">
        <v>5</v>
      </c>
      <c r="Y358" s="30" t="s">
        <v>5</v>
      </c>
      <c r="Z358" s="29" t="s">
        <v>5</v>
      </c>
      <c r="AA358" s="30" t="s">
        <v>5</v>
      </c>
      <c r="AB358" s="29" t="s">
        <v>5</v>
      </c>
      <c r="AC358" s="29" t="s">
        <v>5</v>
      </c>
      <c r="AD358" s="29" t="s">
        <v>5</v>
      </c>
      <c r="AE358" s="29" t="s">
        <v>5</v>
      </c>
      <c r="AF358" s="29" t="s">
        <v>5</v>
      </c>
      <c r="AG358" s="29" t="s">
        <v>5</v>
      </c>
      <c r="AH358" s="2" t="s">
        <v>5</v>
      </c>
      <c r="AI358" s="2" t="s">
        <v>5</v>
      </c>
      <c r="AJ358" s="2" t="s">
        <v>5</v>
      </c>
      <c r="AK358" s="2" t="s">
        <v>5</v>
      </c>
    </row>
    <row r="359" spans="3:37" ht="12.5">
      <c r="C359" s="2" t="str">
        <f ca="1"/>
        <v/>
      </c>
      <c r="D359" s="2" t="str">
        <v/>
      </c>
      <c r="E359" s="29" t="str">
        <v/>
      </c>
      <c r="F359" s="30" t="str">
        <v/>
      </c>
      <c r="G359" s="29" t="str">
        <v/>
      </c>
      <c r="H359" s="30" t="str">
        <v/>
      </c>
      <c r="I359" s="29" t="str">
        <v/>
      </c>
      <c r="J359" s="29" t="str">
        <v/>
      </c>
      <c r="K359" s="29" t="str">
        <v/>
      </c>
      <c r="L359" s="29" t="str">
        <v/>
      </c>
      <c r="M359" s="29" t="str">
        <v/>
      </c>
      <c r="N359" s="29" t="str">
        <v/>
      </c>
      <c r="O359" s="2" t="str">
        <f ca="1"/>
        <v/>
      </c>
      <c r="P359" s="2" t="str">
        <f ca="1"/>
        <v/>
      </c>
      <c r="Q359" s="2" t="s">
        <v>5</v>
      </c>
      <c r="R359" s="2" t="s">
        <v>5</v>
      </c>
      <c r="U359" s="2"/>
      <c r="V359" s="2" t="s">
        <v>5</v>
      </c>
      <c r="W359" s="2" t="s">
        <v>5</v>
      </c>
      <c r="X359" s="29" t="s">
        <v>5</v>
      </c>
      <c r="Y359" s="30" t="s">
        <v>5</v>
      </c>
      <c r="Z359" s="29" t="s">
        <v>5</v>
      </c>
      <c r="AA359" s="30" t="s">
        <v>5</v>
      </c>
      <c r="AB359" s="29" t="s">
        <v>5</v>
      </c>
      <c r="AC359" s="29" t="s">
        <v>5</v>
      </c>
      <c r="AD359" s="29" t="s">
        <v>5</v>
      </c>
      <c r="AE359" s="29" t="s">
        <v>5</v>
      </c>
      <c r="AF359" s="29" t="s">
        <v>5</v>
      </c>
      <c r="AG359" s="29" t="s">
        <v>5</v>
      </c>
      <c r="AH359" s="2" t="s">
        <v>5</v>
      </c>
      <c r="AI359" s="2" t="s">
        <v>5</v>
      </c>
      <c r="AJ359" s="2" t="s">
        <v>5</v>
      </c>
      <c r="AK359" s="2" t="s">
        <v>5</v>
      </c>
    </row>
    <row r="360" spans="3:37" ht="12.5">
      <c r="C360" s="2" t="str">
        <f ca="1"/>
        <v/>
      </c>
      <c r="D360" s="2" t="str">
        <v/>
      </c>
      <c r="E360" s="29" t="str">
        <v/>
      </c>
      <c r="F360" s="30" t="str">
        <v/>
      </c>
      <c r="G360" s="29" t="str">
        <v/>
      </c>
      <c r="H360" s="30" t="str">
        <v/>
      </c>
      <c r="I360" s="29" t="str">
        <v/>
      </c>
      <c r="J360" s="29" t="str">
        <v/>
      </c>
      <c r="K360" s="29" t="str">
        <v/>
      </c>
      <c r="L360" s="29" t="str">
        <v/>
      </c>
      <c r="M360" s="29" t="str">
        <v/>
      </c>
      <c r="N360" s="29" t="str">
        <v/>
      </c>
      <c r="O360" s="2" t="str">
        <f ca="1"/>
        <v/>
      </c>
      <c r="P360" s="2" t="str">
        <f ca="1"/>
        <v/>
      </c>
      <c r="Q360" s="2" t="s">
        <v>5</v>
      </c>
      <c r="R360" s="2" t="s">
        <v>5</v>
      </c>
      <c r="U360" s="2"/>
      <c r="V360" s="2" t="s">
        <v>5</v>
      </c>
      <c r="W360" s="2" t="s">
        <v>5</v>
      </c>
      <c r="X360" s="29" t="s">
        <v>5</v>
      </c>
      <c r="Y360" s="30" t="s">
        <v>5</v>
      </c>
      <c r="Z360" s="29" t="s">
        <v>5</v>
      </c>
      <c r="AA360" s="30" t="s">
        <v>5</v>
      </c>
      <c r="AB360" s="29" t="s">
        <v>5</v>
      </c>
      <c r="AC360" s="29" t="s">
        <v>5</v>
      </c>
      <c r="AD360" s="29" t="s">
        <v>5</v>
      </c>
      <c r="AE360" s="29" t="s">
        <v>5</v>
      </c>
      <c r="AF360" s="29" t="s">
        <v>5</v>
      </c>
      <c r="AG360" s="29" t="s">
        <v>5</v>
      </c>
      <c r="AH360" s="2" t="s">
        <v>5</v>
      </c>
      <c r="AI360" s="2" t="s">
        <v>5</v>
      </c>
      <c r="AJ360" s="2" t="s">
        <v>5</v>
      </c>
      <c r="AK360" s="2" t="s">
        <v>5</v>
      </c>
    </row>
    <row r="361" spans="3:37" ht="12.5">
      <c r="C361" s="2" t="str">
        <f ca="1"/>
        <v/>
      </c>
      <c r="D361" s="2" t="str">
        <v/>
      </c>
      <c r="E361" s="29" t="str">
        <v/>
      </c>
      <c r="F361" s="30" t="str">
        <v/>
      </c>
      <c r="G361" s="29" t="str">
        <v/>
      </c>
      <c r="H361" s="30" t="str">
        <v/>
      </c>
      <c r="I361" s="29" t="str">
        <v/>
      </c>
      <c r="J361" s="29" t="str">
        <v/>
      </c>
      <c r="K361" s="29" t="str">
        <v/>
      </c>
      <c r="L361" s="29" t="str">
        <v/>
      </c>
      <c r="M361" s="29" t="str">
        <v/>
      </c>
      <c r="N361" s="29" t="str">
        <v/>
      </c>
      <c r="O361" s="2" t="str">
        <f ca="1"/>
        <v/>
      </c>
      <c r="P361" s="2" t="str">
        <f ca="1"/>
        <v/>
      </c>
      <c r="Q361" s="2" t="s">
        <v>5</v>
      </c>
      <c r="R361" s="2" t="s">
        <v>5</v>
      </c>
      <c r="U361" s="2"/>
      <c r="V361" s="2" t="s">
        <v>5</v>
      </c>
      <c r="W361" s="2" t="s">
        <v>5</v>
      </c>
      <c r="X361" s="29" t="s">
        <v>5</v>
      </c>
      <c r="Y361" s="30" t="s">
        <v>5</v>
      </c>
      <c r="Z361" s="29" t="s">
        <v>5</v>
      </c>
      <c r="AA361" s="30" t="s">
        <v>5</v>
      </c>
      <c r="AB361" s="29" t="s">
        <v>5</v>
      </c>
      <c r="AC361" s="29" t="s">
        <v>5</v>
      </c>
      <c r="AD361" s="29" t="s">
        <v>5</v>
      </c>
      <c r="AE361" s="29" t="s">
        <v>5</v>
      </c>
      <c r="AF361" s="29" t="s">
        <v>5</v>
      </c>
      <c r="AG361" s="29" t="s">
        <v>5</v>
      </c>
      <c r="AH361" s="2" t="s">
        <v>5</v>
      </c>
      <c r="AI361" s="2" t="s">
        <v>5</v>
      </c>
      <c r="AJ361" s="2" t="s">
        <v>5</v>
      </c>
      <c r="AK361" s="2" t="s">
        <v>5</v>
      </c>
    </row>
    <row r="362" spans="3:37" ht="12.5">
      <c r="C362" s="2" t="str">
        <f ca="1"/>
        <v/>
      </c>
      <c r="D362" s="2" t="str">
        <v/>
      </c>
      <c r="E362" s="29" t="str">
        <v/>
      </c>
      <c r="F362" s="30" t="str">
        <v/>
      </c>
      <c r="G362" s="29" t="str">
        <v/>
      </c>
      <c r="H362" s="30" t="str">
        <v/>
      </c>
      <c r="I362" s="29" t="str">
        <v/>
      </c>
      <c r="J362" s="29" t="str">
        <v/>
      </c>
      <c r="K362" s="29" t="str">
        <v/>
      </c>
      <c r="L362" s="29" t="str">
        <v/>
      </c>
      <c r="M362" s="29" t="str">
        <v/>
      </c>
      <c r="N362" s="29" t="str">
        <v/>
      </c>
      <c r="O362" s="2" t="str">
        <f ca="1"/>
        <v/>
      </c>
      <c r="P362" s="2" t="str">
        <f ca="1"/>
        <v/>
      </c>
      <c r="Q362" s="2" t="s">
        <v>5</v>
      </c>
      <c r="R362" s="2" t="s">
        <v>5</v>
      </c>
      <c r="U362" s="2"/>
      <c r="V362" s="2" t="s">
        <v>5</v>
      </c>
      <c r="W362" s="2" t="s">
        <v>5</v>
      </c>
      <c r="X362" s="29" t="s">
        <v>5</v>
      </c>
      <c r="Y362" s="30" t="s">
        <v>5</v>
      </c>
      <c r="Z362" s="29" t="s">
        <v>5</v>
      </c>
      <c r="AA362" s="30" t="s">
        <v>5</v>
      </c>
      <c r="AB362" s="29" t="s">
        <v>5</v>
      </c>
      <c r="AC362" s="29" t="s">
        <v>5</v>
      </c>
      <c r="AD362" s="29" t="s">
        <v>5</v>
      </c>
      <c r="AE362" s="29" t="s">
        <v>5</v>
      </c>
      <c r="AF362" s="29" t="s">
        <v>5</v>
      </c>
      <c r="AG362" s="29" t="s">
        <v>5</v>
      </c>
      <c r="AH362" s="2" t="s">
        <v>5</v>
      </c>
      <c r="AI362" s="2" t="s">
        <v>5</v>
      </c>
      <c r="AJ362" s="2" t="s">
        <v>5</v>
      </c>
      <c r="AK362" s="2" t="s">
        <v>5</v>
      </c>
    </row>
    <row r="363" spans="3:37" ht="12.5">
      <c r="C363" s="2" t="str">
        <f ca="1"/>
        <v/>
      </c>
      <c r="D363" s="2" t="str">
        <v/>
      </c>
      <c r="E363" s="29" t="str">
        <v/>
      </c>
      <c r="F363" s="30" t="str">
        <v/>
      </c>
      <c r="G363" s="29" t="str">
        <v/>
      </c>
      <c r="H363" s="30" t="str">
        <v/>
      </c>
      <c r="I363" s="29" t="str">
        <v/>
      </c>
      <c r="J363" s="29" t="str">
        <v/>
      </c>
      <c r="K363" s="29" t="str">
        <v/>
      </c>
      <c r="L363" s="29" t="str">
        <v/>
      </c>
      <c r="M363" s="29" t="str">
        <v/>
      </c>
      <c r="N363" s="29" t="str">
        <v/>
      </c>
      <c r="O363" s="2" t="str">
        <f ca="1"/>
        <v/>
      </c>
      <c r="P363" s="2" t="str">
        <f ca="1"/>
        <v/>
      </c>
      <c r="Q363" s="2" t="s">
        <v>5</v>
      </c>
      <c r="R363" s="2" t="s">
        <v>5</v>
      </c>
      <c r="U363" s="2"/>
      <c r="V363" s="2" t="s">
        <v>5</v>
      </c>
      <c r="W363" s="2" t="s">
        <v>5</v>
      </c>
      <c r="X363" s="29" t="s">
        <v>5</v>
      </c>
      <c r="Y363" s="30" t="s">
        <v>5</v>
      </c>
      <c r="Z363" s="29" t="s">
        <v>5</v>
      </c>
      <c r="AA363" s="30" t="s">
        <v>5</v>
      </c>
      <c r="AB363" s="29" t="s">
        <v>5</v>
      </c>
      <c r="AC363" s="29" t="s">
        <v>5</v>
      </c>
      <c r="AD363" s="29" t="s">
        <v>5</v>
      </c>
      <c r="AE363" s="29" t="s">
        <v>5</v>
      </c>
      <c r="AF363" s="29" t="s">
        <v>5</v>
      </c>
      <c r="AG363" s="29" t="s">
        <v>5</v>
      </c>
      <c r="AH363" s="2" t="s">
        <v>5</v>
      </c>
      <c r="AI363" s="2" t="s">
        <v>5</v>
      </c>
      <c r="AJ363" s="2" t="s">
        <v>5</v>
      </c>
      <c r="AK363" s="2" t="s">
        <v>5</v>
      </c>
    </row>
    <row r="364" spans="3:37" ht="12.5">
      <c r="C364" s="2" t="str">
        <f ca="1"/>
        <v/>
      </c>
      <c r="D364" s="2" t="str">
        <v/>
      </c>
      <c r="E364" s="29" t="str">
        <v/>
      </c>
      <c r="F364" s="30" t="str">
        <v/>
      </c>
      <c r="G364" s="29" t="str">
        <v/>
      </c>
      <c r="H364" s="30" t="str">
        <v/>
      </c>
      <c r="I364" s="29" t="str">
        <v/>
      </c>
      <c r="J364" s="29" t="str">
        <v/>
      </c>
      <c r="K364" s="29" t="str">
        <v/>
      </c>
      <c r="L364" s="29" t="str">
        <v/>
      </c>
      <c r="M364" s="29" t="str">
        <v/>
      </c>
      <c r="N364" s="29" t="str">
        <v/>
      </c>
      <c r="O364" s="2" t="str">
        <f ca="1"/>
        <v/>
      </c>
      <c r="P364" s="2" t="str">
        <f ca="1"/>
        <v/>
      </c>
      <c r="Q364" s="2" t="s">
        <v>5</v>
      </c>
      <c r="R364" s="2" t="s">
        <v>5</v>
      </c>
      <c r="U364" s="2"/>
      <c r="V364" s="2" t="s">
        <v>5</v>
      </c>
      <c r="W364" s="2" t="s">
        <v>5</v>
      </c>
      <c r="X364" s="29" t="s">
        <v>5</v>
      </c>
      <c r="Y364" s="30" t="s">
        <v>5</v>
      </c>
      <c r="Z364" s="29" t="s">
        <v>5</v>
      </c>
      <c r="AA364" s="30" t="s">
        <v>5</v>
      </c>
      <c r="AB364" s="29" t="s">
        <v>5</v>
      </c>
      <c r="AC364" s="29" t="s">
        <v>5</v>
      </c>
      <c r="AD364" s="29" t="s">
        <v>5</v>
      </c>
      <c r="AE364" s="29" t="s">
        <v>5</v>
      </c>
      <c r="AF364" s="29" t="s">
        <v>5</v>
      </c>
      <c r="AG364" s="29" t="s">
        <v>5</v>
      </c>
      <c r="AH364" s="2" t="s">
        <v>5</v>
      </c>
      <c r="AI364" s="2" t="s">
        <v>5</v>
      </c>
      <c r="AJ364" s="2" t="s">
        <v>5</v>
      </c>
      <c r="AK364" s="2" t="s">
        <v>5</v>
      </c>
    </row>
    <row r="365" spans="3:37" ht="12.5">
      <c r="C365" s="2" t="str">
        <f ca="1"/>
        <v/>
      </c>
      <c r="D365" s="2" t="str">
        <v/>
      </c>
      <c r="E365" s="29" t="str">
        <v/>
      </c>
      <c r="F365" s="30" t="str">
        <v/>
      </c>
      <c r="G365" s="29" t="str">
        <v/>
      </c>
      <c r="H365" s="30" t="str">
        <v/>
      </c>
      <c r="I365" s="29" t="str">
        <v/>
      </c>
      <c r="J365" s="29" t="str">
        <v/>
      </c>
      <c r="K365" s="29" t="str">
        <v/>
      </c>
      <c r="L365" s="29" t="str">
        <v/>
      </c>
      <c r="M365" s="29" t="str">
        <v/>
      </c>
      <c r="N365" s="29" t="str">
        <v/>
      </c>
      <c r="O365" s="2" t="str">
        <f ca="1"/>
        <v/>
      </c>
      <c r="P365" s="2" t="str">
        <f ca="1"/>
        <v/>
      </c>
      <c r="Q365" s="2" t="s">
        <v>5</v>
      </c>
      <c r="R365" s="2" t="s">
        <v>5</v>
      </c>
      <c r="U365" s="2"/>
      <c r="V365" s="2" t="s">
        <v>5</v>
      </c>
      <c r="W365" s="2" t="s">
        <v>5</v>
      </c>
      <c r="X365" s="29" t="s">
        <v>5</v>
      </c>
      <c r="Y365" s="30" t="s">
        <v>5</v>
      </c>
      <c r="Z365" s="29" t="s">
        <v>5</v>
      </c>
      <c r="AA365" s="30" t="s">
        <v>5</v>
      </c>
      <c r="AB365" s="29" t="s">
        <v>5</v>
      </c>
      <c r="AC365" s="29" t="s">
        <v>5</v>
      </c>
      <c r="AD365" s="29" t="s">
        <v>5</v>
      </c>
      <c r="AE365" s="29" t="s">
        <v>5</v>
      </c>
      <c r="AF365" s="29" t="s">
        <v>5</v>
      </c>
      <c r="AG365" s="29" t="s">
        <v>5</v>
      </c>
      <c r="AH365" s="2" t="s">
        <v>5</v>
      </c>
      <c r="AI365" s="2" t="s">
        <v>5</v>
      </c>
      <c r="AJ365" s="2" t="s">
        <v>5</v>
      </c>
      <c r="AK365" s="2" t="s">
        <v>5</v>
      </c>
    </row>
    <row r="366" spans="3:37" ht="12.5">
      <c r="C366" s="2" t="str">
        <f ca="1"/>
        <v/>
      </c>
      <c r="D366" s="2" t="str">
        <v/>
      </c>
      <c r="E366" s="29" t="str">
        <v/>
      </c>
      <c r="F366" s="30" t="str">
        <v/>
      </c>
      <c r="G366" s="29" t="str">
        <v/>
      </c>
      <c r="H366" s="30" t="str">
        <v/>
      </c>
      <c r="I366" s="29" t="str">
        <v/>
      </c>
      <c r="J366" s="29" t="str">
        <v/>
      </c>
      <c r="K366" s="29" t="str">
        <v/>
      </c>
      <c r="L366" s="29" t="str">
        <v/>
      </c>
      <c r="M366" s="29" t="str">
        <v/>
      </c>
      <c r="N366" s="29" t="str">
        <v/>
      </c>
      <c r="O366" s="2" t="str">
        <f ca="1"/>
        <v/>
      </c>
      <c r="P366" s="2" t="str">
        <f ca="1"/>
        <v/>
      </c>
      <c r="Q366" s="2" t="s">
        <v>5</v>
      </c>
      <c r="R366" s="2" t="s">
        <v>5</v>
      </c>
      <c r="U366" s="2"/>
      <c r="V366" s="2" t="s">
        <v>5</v>
      </c>
      <c r="W366" s="2" t="s">
        <v>5</v>
      </c>
      <c r="X366" s="29" t="s">
        <v>5</v>
      </c>
      <c r="Y366" s="30" t="s">
        <v>5</v>
      </c>
      <c r="Z366" s="29" t="s">
        <v>5</v>
      </c>
      <c r="AA366" s="30" t="s">
        <v>5</v>
      </c>
      <c r="AB366" s="29" t="s">
        <v>5</v>
      </c>
      <c r="AC366" s="29" t="s">
        <v>5</v>
      </c>
      <c r="AD366" s="29" t="s">
        <v>5</v>
      </c>
      <c r="AE366" s="29" t="s">
        <v>5</v>
      </c>
      <c r="AF366" s="29" t="s">
        <v>5</v>
      </c>
      <c r="AG366" s="29" t="s">
        <v>5</v>
      </c>
      <c r="AH366" s="2" t="s">
        <v>5</v>
      </c>
      <c r="AI366" s="2" t="s">
        <v>5</v>
      </c>
      <c r="AJ366" s="2" t="s">
        <v>5</v>
      </c>
      <c r="AK366" s="2" t="s">
        <v>5</v>
      </c>
    </row>
    <row r="367" spans="3:37" ht="12.5">
      <c r="C367" s="2" t="str">
        <f ca="1"/>
        <v/>
      </c>
      <c r="D367" s="2" t="str">
        <v/>
      </c>
      <c r="E367" s="29" t="str">
        <v/>
      </c>
      <c r="F367" s="30" t="str">
        <v/>
      </c>
      <c r="G367" s="29" t="str">
        <v/>
      </c>
      <c r="H367" s="30" t="str">
        <v/>
      </c>
      <c r="I367" s="29" t="str">
        <v/>
      </c>
      <c r="J367" s="29" t="str">
        <v/>
      </c>
      <c r="K367" s="29" t="str">
        <v/>
      </c>
      <c r="L367" s="29" t="str">
        <v/>
      </c>
      <c r="M367" s="29" t="str">
        <v/>
      </c>
      <c r="N367" s="29" t="str">
        <v/>
      </c>
      <c r="O367" s="2" t="str">
        <f ca="1"/>
        <v/>
      </c>
      <c r="P367" s="2" t="str">
        <f ca="1"/>
        <v/>
      </c>
      <c r="Q367" s="2" t="s">
        <v>5</v>
      </c>
      <c r="R367" s="2" t="s">
        <v>5</v>
      </c>
      <c r="U367" s="2"/>
      <c r="V367" s="2" t="s">
        <v>5</v>
      </c>
      <c r="W367" s="2" t="s">
        <v>5</v>
      </c>
      <c r="X367" s="29" t="s">
        <v>5</v>
      </c>
      <c r="Y367" s="30" t="s">
        <v>5</v>
      </c>
      <c r="Z367" s="29" t="s">
        <v>5</v>
      </c>
      <c r="AA367" s="30" t="s">
        <v>5</v>
      </c>
      <c r="AB367" s="29" t="s">
        <v>5</v>
      </c>
      <c r="AC367" s="29" t="s">
        <v>5</v>
      </c>
      <c r="AD367" s="29" t="s">
        <v>5</v>
      </c>
      <c r="AE367" s="29" t="s">
        <v>5</v>
      </c>
      <c r="AF367" s="29" t="s">
        <v>5</v>
      </c>
      <c r="AG367" s="29" t="s">
        <v>5</v>
      </c>
      <c r="AH367" s="2" t="s">
        <v>5</v>
      </c>
      <c r="AI367" s="2" t="s">
        <v>5</v>
      </c>
      <c r="AJ367" s="2" t="s">
        <v>5</v>
      </c>
      <c r="AK367" s="2" t="s">
        <v>5</v>
      </c>
    </row>
    <row r="368" spans="3:37" ht="12.5">
      <c r="C368" s="2" t="str">
        <f ca="1"/>
        <v/>
      </c>
      <c r="D368" s="2" t="str">
        <v/>
      </c>
      <c r="E368" s="29" t="str">
        <v/>
      </c>
      <c r="F368" s="30" t="str">
        <v/>
      </c>
      <c r="G368" s="29" t="str">
        <v/>
      </c>
      <c r="H368" s="30" t="str">
        <v/>
      </c>
      <c r="I368" s="29" t="str">
        <v/>
      </c>
      <c r="J368" s="29" t="str">
        <v/>
      </c>
      <c r="K368" s="29" t="str">
        <v/>
      </c>
      <c r="L368" s="29" t="str">
        <v/>
      </c>
      <c r="M368" s="29" t="str">
        <v/>
      </c>
      <c r="N368" s="29" t="str">
        <v/>
      </c>
      <c r="O368" s="2" t="str">
        <f ca="1"/>
        <v/>
      </c>
      <c r="P368" s="2" t="str">
        <f ca="1"/>
        <v/>
      </c>
      <c r="Q368" s="2" t="s">
        <v>5</v>
      </c>
      <c r="R368" s="2" t="s">
        <v>5</v>
      </c>
      <c r="U368" s="2"/>
      <c r="V368" s="2" t="s">
        <v>5</v>
      </c>
      <c r="W368" s="2" t="s">
        <v>5</v>
      </c>
      <c r="X368" s="29" t="s">
        <v>5</v>
      </c>
      <c r="Y368" s="30" t="s">
        <v>5</v>
      </c>
      <c r="Z368" s="29" t="s">
        <v>5</v>
      </c>
      <c r="AA368" s="30" t="s">
        <v>5</v>
      </c>
      <c r="AB368" s="29" t="s">
        <v>5</v>
      </c>
      <c r="AC368" s="29" t="s">
        <v>5</v>
      </c>
      <c r="AD368" s="29" t="s">
        <v>5</v>
      </c>
      <c r="AE368" s="29" t="s">
        <v>5</v>
      </c>
      <c r="AF368" s="29" t="s">
        <v>5</v>
      </c>
      <c r="AG368" s="29" t="s">
        <v>5</v>
      </c>
      <c r="AH368" s="2" t="s">
        <v>5</v>
      </c>
      <c r="AI368" s="2" t="s">
        <v>5</v>
      </c>
      <c r="AJ368" s="2" t="s">
        <v>5</v>
      </c>
      <c r="AK368" s="2" t="s">
        <v>5</v>
      </c>
    </row>
    <row r="369" spans="3:37" ht="12.5">
      <c r="C369" s="2" t="str">
        <f ca="1"/>
        <v/>
      </c>
      <c r="D369" s="2" t="str">
        <v/>
      </c>
      <c r="E369" s="29" t="str">
        <v/>
      </c>
      <c r="F369" s="30" t="str">
        <v/>
      </c>
      <c r="G369" s="29" t="str">
        <v/>
      </c>
      <c r="H369" s="30" t="str">
        <v/>
      </c>
      <c r="I369" s="29" t="str">
        <v/>
      </c>
      <c r="J369" s="29" t="str">
        <v/>
      </c>
      <c r="K369" s="29" t="str">
        <v/>
      </c>
      <c r="L369" s="29" t="str">
        <v/>
      </c>
      <c r="M369" s="29" t="str">
        <v/>
      </c>
      <c r="N369" s="29" t="str">
        <v/>
      </c>
      <c r="O369" s="2" t="str">
        <f ca="1"/>
        <v/>
      </c>
      <c r="P369" s="2" t="str">
        <f ca="1"/>
        <v/>
      </c>
      <c r="Q369" s="2" t="s">
        <v>5</v>
      </c>
      <c r="R369" s="2" t="s">
        <v>5</v>
      </c>
      <c r="U369" s="2"/>
      <c r="V369" s="2" t="s">
        <v>5</v>
      </c>
      <c r="W369" s="2" t="s">
        <v>5</v>
      </c>
      <c r="X369" s="29" t="s">
        <v>5</v>
      </c>
      <c r="Y369" s="30" t="s">
        <v>5</v>
      </c>
      <c r="Z369" s="29" t="s">
        <v>5</v>
      </c>
      <c r="AA369" s="30" t="s">
        <v>5</v>
      </c>
      <c r="AB369" s="29" t="s">
        <v>5</v>
      </c>
      <c r="AC369" s="29" t="s">
        <v>5</v>
      </c>
      <c r="AD369" s="29" t="s">
        <v>5</v>
      </c>
      <c r="AE369" s="29" t="s">
        <v>5</v>
      </c>
      <c r="AF369" s="29" t="s">
        <v>5</v>
      </c>
      <c r="AG369" s="29" t="s">
        <v>5</v>
      </c>
      <c r="AH369" s="2" t="s">
        <v>5</v>
      </c>
      <c r="AI369" s="2" t="s">
        <v>5</v>
      </c>
      <c r="AJ369" s="2" t="s">
        <v>5</v>
      </c>
      <c r="AK369" s="2" t="s">
        <v>5</v>
      </c>
    </row>
    <row r="370" spans="3:37" ht="12.5">
      <c r="C370" s="2" t="str">
        <f ca="1"/>
        <v/>
      </c>
      <c r="D370" s="2" t="str">
        <v/>
      </c>
      <c r="E370" s="29" t="str">
        <v/>
      </c>
      <c r="F370" s="30" t="str">
        <v/>
      </c>
      <c r="G370" s="29" t="str">
        <v/>
      </c>
      <c r="H370" s="30" t="str">
        <v/>
      </c>
      <c r="I370" s="29" t="str">
        <v/>
      </c>
      <c r="J370" s="29" t="str">
        <v/>
      </c>
      <c r="K370" s="29" t="str">
        <v/>
      </c>
      <c r="L370" s="29" t="str">
        <v/>
      </c>
      <c r="M370" s="29" t="str">
        <v/>
      </c>
      <c r="N370" s="29" t="str">
        <v/>
      </c>
      <c r="O370" s="2" t="str">
        <f ca="1"/>
        <v/>
      </c>
      <c r="P370" s="2" t="str">
        <f ca="1"/>
        <v/>
      </c>
      <c r="Q370" s="2" t="s">
        <v>5</v>
      </c>
      <c r="R370" s="2" t="s">
        <v>5</v>
      </c>
      <c r="U370" s="2"/>
      <c r="V370" s="2" t="s">
        <v>5</v>
      </c>
      <c r="W370" s="2" t="s">
        <v>5</v>
      </c>
      <c r="X370" s="29" t="s">
        <v>5</v>
      </c>
      <c r="Y370" s="30" t="s">
        <v>5</v>
      </c>
      <c r="Z370" s="29" t="s">
        <v>5</v>
      </c>
      <c r="AA370" s="30" t="s">
        <v>5</v>
      </c>
      <c r="AB370" s="29" t="s">
        <v>5</v>
      </c>
      <c r="AC370" s="29" t="s">
        <v>5</v>
      </c>
      <c r="AD370" s="29" t="s">
        <v>5</v>
      </c>
      <c r="AE370" s="29" t="s">
        <v>5</v>
      </c>
      <c r="AF370" s="29" t="s">
        <v>5</v>
      </c>
      <c r="AG370" s="29" t="s">
        <v>5</v>
      </c>
      <c r="AH370" s="2" t="s">
        <v>5</v>
      </c>
      <c r="AI370" s="2" t="s">
        <v>5</v>
      </c>
      <c r="AJ370" s="2" t="s">
        <v>5</v>
      </c>
      <c r="AK370" s="2" t="s">
        <v>5</v>
      </c>
    </row>
    <row r="371" spans="3:37" ht="12.5">
      <c r="C371" s="2" t="str">
        <f ca="1"/>
        <v/>
      </c>
      <c r="D371" s="2" t="str">
        <v/>
      </c>
      <c r="E371" s="29" t="str">
        <v/>
      </c>
      <c r="F371" s="30" t="str">
        <v/>
      </c>
      <c r="G371" s="29" t="str">
        <v/>
      </c>
      <c r="H371" s="30" t="str">
        <v/>
      </c>
      <c r="I371" s="29" t="str">
        <v/>
      </c>
      <c r="J371" s="29" t="str">
        <v/>
      </c>
      <c r="K371" s="29" t="str">
        <v/>
      </c>
      <c r="L371" s="29" t="str">
        <v/>
      </c>
      <c r="M371" s="29" t="str">
        <v/>
      </c>
      <c r="N371" s="29" t="str">
        <v/>
      </c>
      <c r="O371" s="2" t="str">
        <f ca="1"/>
        <v/>
      </c>
      <c r="P371" s="2" t="str">
        <f ca="1"/>
        <v/>
      </c>
      <c r="Q371" s="2" t="s">
        <v>5</v>
      </c>
      <c r="R371" s="2" t="s">
        <v>5</v>
      </c>
      <c r="U371" s="2"/>
      <c r="V371" s="2" t="s">
        <v>5</v>
      </c>
      <c r="W371" s="2" t="s">
        <v>5</v>
      </c>
      <c r="X371" s="29" t="s">
        <v>5</v>
      </c>
      <c r="Y371" s="30" t="s">
        <v>5</v>
      </c>
      <c r="Z371" s="29" t="s">
        <v>5</v>
      </c>
      <c r="AA371" s="30" t="s">
        <v>5</v>
      </c>
      <c r="AB371" s="29" t="s">
        <v>5</v>
      </c>
      <c r="AC371" s="29" t="s">
        <v>5</v>
      </c>
      <c r="AD371" s="29" t="s">
        <v>5</v>
      </c>
      <c r="AE371" s="29" t="s">
        <v>5</v>
      </c>
      <c r="AF371" s="29" t="s">
        <v>5</v>
      </c>
      <c r="AG371" s="29" t="s">
        <v>5</v>
      </c>
      <c r="AH371" s="2" t="s">
        <v>5</v>
      </c>
      <c r="AI371" s="2" t="s">
        <v>5</v>
      </c>
      <c r="AJ371" s="2" t="s">
        <v>5</v>
      </c>
      <c r="AK371" s="2" t="s">
        <v>5</v>
      </c>
    </row>
    <row r="372" spans="3:37" ht="12.5">
      <c r="C372" s="2" t="str">
        <f ca="1"/>
        <v/>
      </c>
      <c r="D372" s="2" t="str">
        <v/>
      </c>
      <c r="E372" s="29" t="str">
        <v/>
      </c>
      <c r="F372" s="30" t="str">
        <v/>
      </c>
      <c r="G372" s="29" t="str">
        <v/>
      </c>
      <c r="H372" s="30" t="str">
        <v/>
      </c>
      <c r="I372" s="29" t="str">
        <v/>
      </c>
      <c r="J372" s="29" t="str">
        <v/>
      </c>
      <c r="K372" s="29" t="str">
        <v/>
      </c>
      <c r="L372" s="29" t="str">
        <v/>
      </c>
      <c r="M372" s="29" t="str">
        <v/>
      </c>
      <c r="N372" s="29" t="str">
        <v/>
      </c>
      <c r="O372" s="2" t="str">
        <f ca="1"/>
        <v/>
      </c>
      <c r="P372" s="2" t="str">
        <f ca="1"/>
        <v/>
      </c>
      <c r="Q372" s="2" t="s">
        <v>5</v>
      </c>
      <c r="R372" s="2" t="s">
        <v>5</v>
      </c>
      <c r="U372" s="2"/>
      <c r="V372" s="2" t="s">
        <v>5</v>
      </c>
      <c r="W372" s="2" t="s">
        <v>5</v>
      </c>
      <c r="X372" s="29" t="s">
        <v>5</v>
      </c>
      <c r="Y372" s="30" t="s">
        <v>5</v>
      </c>
      <c r="Z372" s="29" t="s">
        <v>5</v>
      </c>
      <c r="AA372" s="30" t="s">
        <v>5</v>
      </c>
      <c r="AB372" s="29" t="s">
        <v>5</v>
      </c>
      <c r="AC372" s="29" t="s">
        <v>5</v>
      </c>
      <c r="AD372" s="29" t="s">
        <v>5</v>
      </c>
      <c r="AE372" s="29" t="s">
        <v>5</v>
      </c>
      <c r="AF372" s="29" t="s">
        <v>5</v>
      </c>
      <c r="AG372" s="29" t="s">
        <v>5</v>
      </c>
      <c r="AH372" s="2" t="s">
        <v>5</v>
      </c>
      <c r="AI372" s="2" t="s">
        <v>5</v>
      </c>
      <c r="AJ372" s="2" t="s">
        <v>5</v>
      </c>
      <c r="AK372" s="2" t="s">
        <v>5</v>
      </c>
    </row>
    <row r="373" spans="3:37" ht="12.5">
      <c r="C373" s="2" t="str">
        <f ca="1"/>
        <v/>
      </c>
      <c r="D373" s="2" t="str">
        <v/>
      </c>
      <c r="E373" s="29" t="str">
        <v/>
      </c>
      <c r="F373" s="30" t="str">
        <v/>
      </c>
      <c r="G373" s="29" t="str">
        <v/>
      </c>
      <c r="H373" s="30" t="str">
        <v/>
      </c>
      <c r="I373" s="29" t="str">
        <v/>
      </c>
      <c r="J373" s="29" t="str">
        <v/>
      </c>
      <c r="K373" s="29" t="str">
        <v/>
      </c>
      <c r="L373" s="29" t="str">
        <v/>
      </c>
      <c r="M373" s="29" t="str">
        <v/>
      </c>
      <c r="N373" s="29" t="str">
        <v/>
      </c>
      <c r="O373" s="2" t="str">
        <f ca="1"/>
        <v/>
      </c>
      <c r="P373" s="2" t="str">
        <f ca="1"/>
        <v/>
      </c>
      <c r="Q373" s="2" t="s">
        <v>5</v>
      </c>
      <c r="R373" s="2" t="s">
        <v>5</v>
      </c>
      <c r="U373" s="2"/>
      <c r="V373" s="2" t="s">
        <v>5</v>
      </c>
      <c r="W373" s="2" t="s">
        <v>5</v>
      </c>
      <c r="X373" s="29" t="s">
        <v>5</v>
      </c>
      <c r="Y373" s="30" t="s">
        <v>5</v>
      </c>
      <c r="Z373" s="29" t="s">
        <v>5</v>
      </c>
      <c r="AA373" s="30" t="s">
        <v>5</v>
      </c>
      <c r="AB373" s="29" t="s">
        <v>5</v>
      </c>
      <c r="AC373" s="29" t="s">
        <v>5</v>
      </c>
      <c r="AD373" s="29" t="s">
        <v>5</v>
      </c>
      <c r="AE373" s="29" t="s">
        <v>5</v>
      </c>
      <c r="AF373" s="29" t="s">
        <v>5</v>
      </c>
      <c r="AG373" s="29" t="s">
        <v>5</v>
      </c>
      <c r="AH373" s="2" t="s">
        <v>5</v>
      </c>
      <c r="AI373" s="2" t="s">
        <v>5</v>
      </c>
      <c r="AJ373" s="2" t="s">
        <v>5</v>
      </c>
      <c r="AK373" s="2" t="s">
        <v>5</v>
      </c>
    </row>
    <row r="374" spans="3:37" ht="12.5">
      <c r="C374" s="2" t="str">
        <f ca="1"/>
        <v/>
      </c>
      <c r="D374" s="2" t="str">
        <v/>
      </c>
      <c r="E374" s="29" t="str">
        <v/>
      </c>
      <c r="F374" s="30" t="str">
        <v/>
      </c>
      <c r="G374" s="29" t="str">
        <v/>
      </c>
      <c r="H374" s="30" t="str">
        <v/>
      </c>
      <c r="I374" s="29" t="str">
        <v/>
      </c>
      <c r="J374" s="29" t="str">
        <v/>
      </c>
      <c r="K374" s="29" t="str">
        <v/>
      </c>
      <c r="L374" s="29" t="str">
        <v/>
      </c>
      <c r="M374" s="29" t="str">
        <v/>
      </c>
      <c r="N374" s="29" t="str">
        <v/>
      </c>
      <c r="O374" s="2" t="str">
        <f ca="1"/>
        <v/>
      </c>
      <c r="P374" s="2" t="str">
        <f ca="1"/>
        <v/>
      </c>
      <c r="Q374" s="2" t="s">
        <v>5</v>
      </c>
      <c r="R374" s="2" t="s">
        <v>5</v>
      </c>
      <c r="U374" s="2"/>
      <c r="V374" s="2" t="s">
        <v>5</v>
      </c>
      <c r="W374" s="2" t="s">
        <v>5</v>
      </c>
      <c r="X374" s="29" t="s">
        <v>5</v>
      </c>
      <c r="Y374" s="30" t="s">
        <v>5</v>
      </c>
      <c r="Z374" s="29" t="s">
        <v>5</v>
      </c>
      <c r="AA374" s="30" t="s">
        <v>5</v>
      </c>
      <c r="AB374" s="29" t="s">
        <v>5</v>
      </c>
      <c r="AC374" s="29" t="s">
        <v>5</v>
      </c>
      <c r="AD374" s="29" t="s">
        <v>5</v>
      </c>
      <c r="AE374" s="29" t="s">
        <v>5</v>
      </c>
      <c r="AF374" s="29" t="s">
        <v>5</v>
      </c>
      <c r="AG374" s="29" t="s">
        <v>5</v>
      </c>
      <c r="AH374" s="2" t="s">
        <v>5</v>
      </c>
      <c r="AI374" s="2" t="s">
        <v>5</v>
      </c>
      <c r="AJ374" s="2" t="s">
        <v>5</v>
      </c>
      <c r="AK374" s="2" t="s">
        <v>5</v>
      </c>
    </row>
    <row r="375" spans="3:37" ht="12.5">
      <c r="C375" s="2" t="str">
        <f ca="1"/>
        <v/>
      </c>
      <c r="D375" s="2" t="str">
        <v/>
      </c>
      <c r="E375" s="29" t="str">
        <v/>
      </c>
      <c r="F375" s="30" t="str">
        <v/>
      </c>
      <c r="G375" s="29" t="str">
        <v/>
      </c>
      <c r="H375" s="30" t="str">
        <v/>
      </c>
      <c r="I375" s="29" t="str">
        <v/>
      </c>
      <c r="J375" s="29" t="str">
        <v/>
      </c>
      <c r="K375" s="29" t="str">
        <v/>
      </c>
      <c r="L375" s="29" t="str">
        <v/>
      </c>
      <c r="M375" s="29" t="str">
        <v/>
      </c>
      <c r="N375" s="29" t="str">
        <v/>
      </c>
      <c r="O375" s="2" t="str">
        <f ca="1"/>
        <v/>
      </c>
      <c r="P375" s="2" t="str">
        <f ca="1"/>
        <v/>
      </c>
      <c r="Q375" s="2" t="s">
        <v>5</v>
      </c>
      <c r="R375" s="2" t="s">
        <v>5</v>
      </c>
      <c r="U375" s="2"/>
      <c r="V375" s="2" t="s">
        <v>5</v>
      </c>
      <c r="W375" s="2" t="s">
        <v>5</v>
      </c>
      <c r="X375" s="29" t="s">
        <v>5</v>
      </c>
      <c r="Y375" s="30" t="s">
        <v>5</v>
      </c>
      <c r="Z375" s="29" t="s">
        <v>5</v>
      </c>
      <c r="AA375" s="30" t="s">
        <v>5</v>
      </c>
      <c r="AB375" s="29" t="s">
        <v>5</v>
      </c>
      <c r="AC375" s="29" t="s">
        <v>5</v>
      </c>
      <c r="AD375" s="29" t="s">
        <v>5</v>
      </c>
      <c r="AE375" s="29" t="s">
        <v>5</v>
      </c>
      <c r="AF375" s="29" t="s">
        <v>5</v>
      </c>
      <c r="AG375" s="29" t="s">
        <v>5</v>
      </c>
      <c r="AH375" s="2" t="s">
        <v>5</v>
      </c>
      <c r="AI375" s="2" t="s">
        <v>5</v>
      </c>
      <c r="AJ375" s="2" t="s">
        <v>5</v>
      </c>
      <c r="AK375" s="2" t="s">
        <v>5</v>
      </c>
    </row>
    <row r="376" spans="3:37" ht="12.5">
      <c r="C376" s="2" t="str">
        <f ca="1"/>
        <v/>
      </c>
      <c r="D376" s="2" t="str">
        <v/>
      </c>
      <c r="E376" s="29" t="str">
        <v/>
      </c>
      <c r="F376" s="30" t="str">
        <v/>
      </c>
      <c r="G376" s="29" t="str">
        <v/>
      </c>
      <c r="H376" s="30" t="str">
        <v/>
      </c>
      <c r="I376" s="29" t="str">
        <v/>
      </c>
      <c r="J376" s="29" t="str">
        <v/>
      </c>
      <c r="K376" s="29" t="str">
        <v/>
      </c>
      <c r="L376" s="29" t="str">
        <v/>
      </c>
      <c r="M376" s="29" t="str">
        <v/>
      </c>
      <c r="N376" s="29" t="str">
        <v/>
      </c>
      <c r="O376" s="2" t="str">
        <f ca="1"/>
        <v/>
      </c>
      <c r="P376" s="2" t="str">
        <f ca="1"/>
        <v/>
      </c>
      <c r="Q376" s="2" t="s">
        <v>5</v>
      </c>
      <c r="R376" s="2" t="s">
        <v>5</v>
      </c>
      <c r="U376" s="2"/>
      <c r="V376" s="2" t="s">
        <v>5</v>
      </c>
      <c r="W376" s="2" t="s">
        <v>5</v>
      </c>
      <c r="X376" s="29" t="s">
        <v>5</v>
      </c>
      <c r="Y376" s="30" t="s">
        <v>5</v>
      </c>
      <c r="Z376" s="29" t="s">
        <v>5</v>
      </c>
      <c r="AA376" s="30" t="s">
        <v>5</v>
      </c>
      <c r="AB376" s="29" t="s">
        <v>5</v>
      </c>
      <c r="AC376" s="29" t="s">
        <v>5</v>
      </c>
      <c r="AD376" s="29" t="s">
        <v>5</v>
      </c>
      <c r="AE376" s="29" t="s">
        <v>5</v>
      </c>
      <c r="AF376" s="29" t="s">
        <v>5</v>
      </c>
      <c r="AG376" s="29" t="s">
        <v>5</v>
      </c>
      <c r="AH376" s="2" t="s">
        <v>5</v>
      </c>
      <c r="AI376" s="2" t="s">
        <v>5</v>
      </c>
      <c r="AJ376" s="2" t="s">
        <v>5</v>
      </c>
      <c r="AK376" s="2" t="s">
        <v>5</v>
      </c>
    </row>
    <row r="377" spans="3:37" ht="12.5">
      <c r="C377" s="2" t="str">
        <f ca="1"/>
        <v/>
      </c>
      <c r="D377" s="2" t="str">
        <v/>
      </c>
      <c r="E377" s="29" t="str">
        <v/>
      </c>
      <c r="F377" s="30" t="str">
        <v/>
      </c>
      <c r="G377" s="29" t="str">
        <v/>
      </c>
      <c r="H377" s="30" t="str">
        <v/>
      </c>
      <c r="I377" s="29" t="str">
        <v/>
      </c>
      <c r="J377" s="29" t="str">
        <v/>
      </c>
      <c r="K377" s="29" t="str">
        <v/>
      </c>
      <c r="L377" s="29" t="str">
        <v/>
      </c>
      <c r="M377" s="29" t="str">
        <v/>
      </c>
      <c r="N377" s="29" t="str">
        <v/>
      </c>
      <c r="O377" s="2" t="str">
        <f ca="1"/>
        <v/>
      </c>
      <c r="P377" s="2" t="str">
        <f ca="1"/>
        <v/>
      </c>
      <c r="Q377" s="2" t="s">
        <v>5</v>
      </c>
      <c r="R377" s="2" t="s">
        <v>5</v>
      </c>
      <c r="U377" s="2"/>
      <c r="V377" s="2" t="s">
        <v>5</v>
      </c>
      <c r="W377" s="2" t="s">
        <v>5</v>
      </c>
      <c r="X377" s="29" t="s">
        <v>5</v>
      </c>
      <c r="Y377" s="30" t="s">
        <v>5</v>
      </c>
      <c r="Z377" s="29" t="s">
        <v>5</v>
      </c>
      <c r="AA377" s="30" t="s">
        <v>5</v>
      </c>
      <c r="AB377" s="29" t="s">
        <v>5</v>
      </c>
      <c r="AC377" s="29" t="s">
        <v>5</v>
      </c>
      <c r="AD377" s="29" t="s">
        <v>5</v>
      </c>
      <c r="AE377" s="29" t="s">
        <v>5</v>
      </c>
      <c r="AF377" s="29" t="s">
        <v>5</v>
      </c>
      <c r="AG377" s="29" t="s">
        <v>5</v>
      </c>
      <c r="AH377" s="2" t="s">
        <v>5</v>
      </c>
      <c r="AI377" s="2" t="s">
        <v>5</v>
      </c>
      <c r="AJ377" s="2" t="s">
        <v>5</v>
      </c>
      <c r="AK377" s="2" t="s">
        <v>5</v>
      </c>
    </row>
    <row r="378" spans="3:37" ht="12.5">
      <c r="C378" s="2" t="str">
        <f ca="1"/>
        <v/>
      </c>
      <c r="D378" s="2" t="str">
        <v/>
      </c>
      <c r="E378" s="29" t="str">
        <v/>
      </c>
      <c r="F378" s="30" t="str">
        <v/>
      </c>
      <c r="G378" s="29" t="str">
        <v/>
      </c>
      <c r="H378" s="30" t="str">
        <v/>
      </c>
      <c r="I378" s="29" t="str">
        <v/>
      </c>
      <c r="J378" s="29" t="str">
        <v/>
      </c>
      <c r="K378" s="29" t="str">
        <v/>
      </c>
      <c r="L378" s="29" t="str">
        <v/>
      </c>
      <c r="M378" s="29" t="str">
        <v/>
      </c>
      <c r="N378" s="29" t="str">
        <v/>
      </c>
      <c r="O378" s="2" t="str">
        <f ca="1"/>
        <v/>
      </c>
      <c r="P378" s="2" t="str">
        <f ca="1"/>
        <v/>
      </c>
      <c r="Q378" s="2" t="s">
        <v>5</v>
      </c>
      <c r="R378" s="2" t="s">
        <v>5</v>
      </c>
      <c r="U378" s="2"/>
      <c r="V378" s="2" t="s">
        <v>5</v>
      </c>
      <c r="W378" s="2" t="s">
        <v>5</v>
      </c>
      <c r="X378" s="29" t="s">
        <v>5</v>
      </c>
      <c r="Y378" s="30" t="s">
        <v>5</v>
      </c>
      <c r="Z378" s="29" t="s">
        <v>5</v>
      </c>
      <c r="AA378" s="30" t="s">
        <v>5</v>
      </c>
      <c r="AB378" s="29" t="s">
        <v>5</v>
      </c>
      <c r="AC378" s="29" t="s">
        <v>5</v>
      </c>
      <c r="AD378" s="29" t="s">
        <v>5</v>
      </c>
      <c r="AE378" s="29" t="s">
        <v>5</v>
      </c>
      <c r="AF378" s="29" t="s">
        <v>5</v>
      </c>
      <c r="AG378" s="29" t="s">
        <v>5</v>
      </c>
      <c r="AH378" s="2" t="s">
        <v>5</v>
      </c>
      <c r="AI378" s="2" t="s">
        <v>5</v>
      </c>
      <c r="AJ378" s="2" t="s">
        <v>5</v>
      </c>
      <c r="AK378" s="2" t="s">
        <v>5</v>
      </c>
    </row>
    <row r="379" spans="3:37" ht="12.5">
      <c r="C379" s="2" t="str">
        <f ca="1"/>
        <v/>
      </c>
      <c r="D379" s="2" t="str">
        <v/>
      </c>
      <c r="E379" s="29" t="str">
        <v/>
      </c>
      <c r="F379" s="30" t="str">
        <v/>
      </c>
      <c r="G379" s="29" t="str">
        <v/>
      </c>
      <c r="H379" s="30" t="str">
        <v/>
      </c>
      <c r="I379" s="29" t="str">
        <v/>
      </c>
      <c r="J379" s="29" t="str">
        <v/>
      </c>
      <c r="K379" s="29" t="str">
        <v/>
      </c>
      <c r="L379" s="29" t="str">
        <v/>
      </c>
      <c r="M379" s="29" t="str">
        <v/>
      </c>
      <c r="N379" s="29" t="str">
        <v/>
      </c>
      <c r="O379" s="2" t="str">
        <f ca="1"/>
        <v/>
      </c>
      <c r="P379" s="2" t="str">
        <f ca="1"/>
        <v/>
      </c>
      <c r="Q379" s="2" t="s">
        <v>5</v>
      </c>
      <c r="R379" s="2" t="s">
        <v>5</v>
      </c>
      <c r="U379" s="2"/>
      <c r="V379" s="2" t="s">
        <v>5</v>
      </c>
      <c r="W379" s="2" t="s">
        <v>5</v>
      </c>
      <c r="X379" s="29" t="s">
        <v>5</v>
      </c>
      <c r="Y379" s="30" t="s">
        <v>5</v>
      </c>
      <c r="Z379" s="29" t="s">
        <v>5</v>
      </c>
      <c r="AA379" s="30" t="s">
        <v>5</v>
      </c>
      <c r="AB379" s="29" t="s">
        <v>5</v>
      </c>
      <c r="AC379" s="29" t="s">
        <v>5</v>
      </c>
      <c r="AD379" s="29" t="s">
        <v>5</v>
      </c>
      <c r="AE379" s="29" t="s">
        <v>5</v>
      </c>
      <c r="AF379" s="29" t="s">
        <v>5</v>
      </c>
      <c r="AG379" s="29" t="s">
        <v>5</v>
      </c>
      <c r="AH379" s="2" t="s">
        <v>5</v>
      </c>
      <c r="AI379" s="2" t="s">
        <v>5</v>
      </c>
      <c r="AJ379" s="2" t="s">
        <v>5</v>
      </c>
      <c r="AK379" s="2" t="s">
        <v>5</v>
      </c>
    </row>
    <row r="380" spans="3:37" ht="12.5">
      <c r="C380" s="2" t="str">
        <f ca="1"/>
        <v/>
      </c>
      <c r="D380" s="2" t="str">
        <v/>
      </c>
      <c r="E380" s="29" t="str">
        <v/>
      </c>
      <c r="F380" s="30" t="str">
        <v/>
      </c>
      <c r="G380" s="29" t="str">
        <v/>
      </c>
      <c r="H380" s="30" t="str">
        <v/>
      </c>
      <c r="I380" s="29" t="str">
        <v/>
      </c>
      <c r="J380" s="29" t="str">
        <v/>
      </c>
      <c r="K380" s="29" t="str">
        <v/>
      </c>
      <c r="L380" s="29" t="str">
        <v/>
      </c>
      <c r="M380" s="29" t="str">
        <v/>
      </c>
      <c r="N380" s="29" t="str">
        <v/>
      </c>
      <c r="O380" s="2" t="str">
        <f ca="1"/>
        <v/>
      </c>
      <c r="P380" s="2" t="str">
        <f ca="1"/>
        <v/>
      </c>
      <c r="Q380" s="2" t="s">
        <v>5</v>
      </c>
      <c r="R380" s="2" t="s">
        <v>5</v>
      </c>
      <c r="U380" s="2"/>
      <c r="V380" s="2" t="s">
        <v>5</v>
      </c>
      <c r="W380" s="2" t="s">
        <v>5</v>
      </c>
      <c r="X380" s="29" t="s">
        <v>5</v>
      </c>
      <c r="Y380" s="30" t="s">
        <v>5</v>
      </c>
      <c r="Z380" s="29" t="s">
        <v>5</v>
      </c>
      <c r="AA380" s="30" t="s">
        <v>5</v>
      </c>
      <c r="AB380" s="29" t="s">
        <v>5</v>
      </c>
      <c r="AC380" s="29" t="s">
        <v>5</v>
      </c>
      <c r="AD380" s="29" t="s">
        <v>5</v>
      </c>
      <c r="AE380" s="29" t="s">
        <v>5</v>
      </c>
      <c r="AF380" s="29" t="s">
        <v>5</v>
      </c>
      <c r="AG380" s="29" t="s">
        <v>5</v>
      </c>
      <c r="AH380" s="2" t="s">
        <v>5</v>
      </c>
      <c r="AI380" s="2" t="s">
        <v>5</v>
      </c>
      <c r="AJ380" s="2" t="s">
        <v>5</v>
      </c>
      <c r="AK380" s="2" t="s">
        <v>5</v>
      </c>
    </row>
    <row r="381" spans="3:37" ht="12.5">
      <c r="C381" s="2" t="str">
        <f ca="1"/>
        <v/>
      </c>
      <c r="D381" s="2" t="str">
        <v/>
      </c>
      <c r="E381" s="29" t="str">
        <v/>
      </c>
      <c r="F381" s="30" t="str">
        <v/>
      </c>
      <c r="G381" s="29" t="str">
        <v/>
      </c>
      <c r="H381" s="30" t="str">
        <v/>
      </c>
      <c r="I381" s="29" t="str">
        <v/>
      </c>
      <c r="J381" s="29" t="str">
        <v/>
      </c>
      <c r="K381" s="29" t="str">
        <v/>
      </c>
      <c r="L381" s="29" t="str">
        <v/>
      </c>
      <c r="M381" s="29" t="str">
        <v/>
      </c>
      <c r="N381" s="29" t="str">
        <v/>
      </c>
      <c r="O381" s="2" t="str">
        <f ca="1"/>
        <v/>
      </c>
      <c r="P381" s="2" t="str">
        <f ca="1"/>
        <v/>
      </c>
      <c r="Q381" s="2" t="s">
        <v>5</v>
      </c>
      <c r="R381" s="2" t="s">
        <v>5</v>
      </c>
      <c r="U381" s="2"/>
      <c r="V381" s="2" t="s">
        <v>5</v>
      </c>
      <c r="W381" s="2" t="s">
        <v>5</v>
      </c>
      <c r="X381" s="29" t="s">
        <v>5</v>
      </c>
      <c r="Y381" s="30" t="s">
        <v>5</v>
      </c>
      <c r="Z381" s="29" t="s">
        <v>5</v>
      </c>
      <c r="AA381" s="30" t="s">
        <v>5</v>
      </c>
      <c r="AB381" s="29" t="s">
        <v>5</v>
      </c>
      <c r="AC381" s="29" t="s">
        <v>5</v>
      </c>
      <c r="AD381" s="29" t="s">
        <v>5</v>
      </c>
      <c r="AE381" s="29" t="s">
        <v>5</v>
      </c>
      <c r="AF381" s="29" t="s">
        <v>5</v>
      </c>
      <c r="AG381" s="29" t="s">
        <v>5</v>
      </c>
      <c r="AH381" s="2" t="s">
        <v>5</v>
      </c>
      <c r="AI381" s="2" t="s">
        <v>5</v>
      </c>
      <c r="AJ381" s="2" t="s">
        <v>5</v>
      </c>
      <c r="AK381" s="2" t="s">
        <v>5</v>
      </c>
    </row>
    <row r="382" spans="3:37" ht="12.5">
      <c r="C382" s="2" t="str">
        <f ca="1"/>
        <v/>
      </c>
      <c r="D382" s="2" t="str">
        <v/>
      </c>
      <c r="E382" s="29" t="str">
        <v/>
      </c>
      <c r="F382" s="30" t="str">
        <v/>
      </c>
      <c r="G382" s="29" t="str">
        <v/>
      </c>
      <c r="H382" s="30" t="str">
        <v/>
      </c>
      <c r="I382" s="29" t="str">
        <v/>
      </c>
      <c r="J382" s="29" t="str">
        <v/>
      </c>
      <c r="K382" s="29" t="str">
        <v/>
      </c>
      <c r="L382" s="29" t="str">
        <v/>
      </c>
      <c r="M382" s="29" t="str">
        <v/>
      </c>
      <c r="N382" s="29" t="str">
        <v/>
      </c>
      <c r="O382" s="2" t="str">
        <f ca="1"/>
        <v/>
      </c>
      <c r="P382" s="2" t="str">
        <f ca="1"/>
        <v/>
      </c>
      <c r="Q382" s="2" t="s">
        <v>5</v>
      </c>
      <c r="R382" s="2" t="s">
        <v>5</v>
      </c>
      <c r="U382" s="2"/>
      <c r="V382" s="2" t="s">
        <v>5</v>
      </c>
      <c r="W382" s="2" t="s">
        <v>5</v>
      </c>
      <c r="X382" s="29" t="s">
        <v>5</v>
      </c>
      <c r="Y382" s="30" t="s">
        <v>5</v>
      </c>
      <c r="Z382" s="29" t="s">
        <v>5</v>
      </c>
      <c r="AA382" s="30" t="s">
        <v>5</v>
      </c>
      <c r="AB382" s="29" t="s">
        <v>5</v>
      </c>
      <c r="AC382" s="29" t="s">
        <v>5</v>
      </c>
      <c r="AD382" s="29" t="s">
        <v>5</v>
      </c>
      <c r="AE382" s="29" t="s">
        <v>5</v>
      </c>
      <c r="AF382" s="29" t="s">
        <v>5</v>
      </c>
      <c r="AG382" s="29" t="s">
        <v>5</v>
      </c>
      <c r="AH382" s="2" t="s">
        <v>5</v>
      </c>
      <c r="AI382" s="2" t="s">
        <v>5</v>
      </c>
      <c r="AJ382" s="2" t="s">
        <v>5</v>
      </c>
      <c r="AK382" s="2" t="s">
        <v>5</v>
      </c>
    </row>
    <row r="383" spans="3:37" ht="12.5">
      <c r="C383" s="2" t="str">
        <f ca="1"/>
        <v/>
      </c>
      <c r="D383" s="2" t="str">
        <v/>
      </c>
      <c r="E383" s="29" t="str">
        <v/>
      </c>
      <c r="F383" s="30" t="str">
        <v/>
      </c>
      <c r="G383" s="29" t="str">
        <v/>
      </c>
      <c r="H383" s="30" t="str">
        <v/>
      </c>
      <c r="I383" s="29" t="str">
        <v/>
      </c>
      <c r="J383" s="29" t="str">
        <v/>
      </c>
      <c r="K383" s="29" t="str">
        <v/>
      </c>
      <c r="L383" s="29" t="str">
        <v/>
      </c>
      <c r="M383" s="29" t="str">
        <v/>
      </c>
      <c r="N383" s="29" t="str">
        <v/>
      </c>
      <c r="O383" s="2" t="str">
        <f ca="1"/>
        <v/>
      </c>
      <c r="P383" s="2" t="str">
        <f ca="1"/>
        <v/>
      </c>
      <c r="Q383" s="2" t="s">
        <v>5</v>
      </c>
      <c r="R383" s="2" t="s">
        <v>5</v>
      </c>
      <c r="U383" s="2"/>
      <c r="V383" s="2" t="s">
        <v>5</v>
      </c>
      <c r="W383" s="2" t="s">
        <v>5</v>
      </c>
      <c r="X383" s="29" t="s">
        <v>5</v>
      </c>
      <c r="Y383" s="30" t="s">
        <v>5</v>
      </c>
      <c r="Z383" s="29" t="s">
        <v>5</v>
      </c>
      <c r="AA383" s="30" t="s">
        <v>5</v>
      </c>
      <c r="AB383" s="29" t="s">
        <v>5</v>
      </c>
      <c r="AC383" s="29" t="s">
        <v>5</v>
      </c>
      <c r="AD383" s="29" t="s">
        <v>5</v>
      </c>
      <c r="AE383" s="29" t="s">
        <v>5</v>
      </c>
      <c r="AF383" s="29" t="s">
        <v>5</v>
      </c>
      <c r="AG383" s="29" t="s">
        <v>5</v>
      </c>
      <c r="AH383" s="2" t="s">
        <v>5</v>
      </c>
      <c r="AI383" s="2" t="s">
        <v>5</v>
      </c>
      <c r="AJ383" s="2" t="s">
        <v>5</v>
      </c>
      <c r="AK383" s="2" t="s">
        <v>5</v>
      </c>
    </row>
    <row r="384" spans="3:37" ht="12.5">
      <c r="C384" s="2" t="str">
        <f ca="1"/>
        <v/>
      </c>
      <c r="D384" s="2" t="str">
        <v/>
      </c>
      <c r="E384" s="29" t="str">
        <v/>
      </c>
      <c r="F384" s="30" t="str">
        <v/>
      </c>
      <c r="G384" s="29" t="str">
        <v/>
      </c>
      <c r="H384" s="30" t="str">
        <v/>
      </c>
      <c r="I384" s="29" t="str">
        <v/>
      </c>
      <c r="J384" s="29" t="str">
        <v/>
      </c>
      <c r="K384" s="29" t="str">
        <v/>
      </c>
      <c r="L384" s="29" t="str">
        <v/>
      </c>
      <c r="M384" s="29" t="str">
        <v/>
      </c>
      <c r="N384" s="29" t="str">
        <v/>
      </c>
      <c r="O384" s="2" t="str">
        <f ca="1"/>
        <v/>
      </c>
      <c r="P384" s="2" t="str">
        <f ca="1"/>
        <v/>
      </c>
      <c r="Q384" s="2" t="s">
        <v>5</v>
      </c>
      <c r="R384" s="2" t="s">
        <v>5</v>
      </c>
      <c r="U384" s="2"/>
      <c r="V384" s="2" t="s">
        <v>5</v>
      </c>
      <c r="W384" s="2" t="s">
        <v>5</v>
      </c>
      <c r="X384" s="29" t="s">
        <v>5</v>
      </c>
      <c r="Y384" s="30" t="s">
        <v>5</v>
      </c>
      <c r="Z384" s="29" t="s">
        <v>5</v>
      </c>
      <c r="AA384" s="30" t="s">
        <v>5</v>
      </c>
      <c r="AB384" s="29" t="s">
        <v>5</v>
      </c>
      <c r="AC384" s="29" t="s">
        <v>5</v>
      </c>
      <c r="AD384" s="29" t="s">
        <v>5</v>
      </c>
      <c r="AE384" s="29" t="s">
        <v>5</v>
      </c>
      <c r="AF384" s="29" t="s">
        <v>5</v>
      </c>
      <c r="AG384" s="29" t="s">
        <v>5</v>
      </c>
      <c r="AH384" s="2" t="s">
        <v>5</v>
      </c>
      <c r="AI384" s="2" t="s">
        <v>5</v>
      </c>
      <c r="AJ384" s="2" t="s">
        <v>5</v>
      </c>
      <c r="AK384" s="2" t="s">
        <v>5</v>
      </c>
    </row>
    <row r="385" spans="3:37" ht="12.5">
      <c r="C385" s="2" t="str">
        <f ca="1"/>
        <v/>
      </c>
      <c r="D385" s="2" t="str">
        <v/>
      </c>
      <c r="E385" s="29" t="str">
        <v/>
      </c>
      <c r="F385" s="30" t="str">
        <v/>
      </c>
      <c r="G385" s="29" t="str">
        <v/>
      </c>
      <c r="H385" s="30" t="str">
        <v/>
      </c>
      <c r="I385" s="29" t="str">
        <v/>
      </c>
      <c r="J385" s="29" t="str">
        <v/>
      </c>
      <c r="K385" s="29" t="str">
        <v/>
      </c>
      <c r="L385" s="29" t="str">
        <v/>
      </c>
      <c r="M385" s="29" t="str">
        <v/>
      </c>
      <c r="N385" s="29" t="str">
        <v/>
      </c>
      <c r="O385" s="2" t="str">
        <f ca="1"/>
        <v/>
      </c>
      <c r="P385" s="2" t="str">
        <f ca="1"/>
        <v/>
      </c>
      <c r="Q385" s="2" t="s">
        <v>5</v>
      </c>
      <c r="R385" s="2" t="s">
        <v>5</v>
      </c>
      <c r="U385" s="2"/>
      <c r="V385" s="2" t="s">
        <v>5</v>
      </c>
      <c r="W385" s="2" t="s">
        <v>5</v>
      </c>
      <c r="X385" s="29" t="s">
        <v>5</v>
      </c>
      <c r="Y385" s="30" t="s">
        <v>5</v>
      </c>
      <c r="Z385" s="29" t="s">
        <v>5</v>
      </c>
      <c r="AA385" s="30" t="s">
        <v>5</v>
      </c>
      <c r="AB385" s="29" t="s">
        <v>5</v>
      </c>
      <c r="AC385" s="29" t="s">
        <v>5</v>
      </c>
      <c r="AD385" s="29" t="s">
        <v>5</v>
      </c>
      <c r="AE385" s="29" t="s">
        <v>5</v>
      </c>
      <c r="AF385" s="29" t="s">
        <v>5</v>
      </c>
      <c r="AG385" s="29" t="s">
        <v>5</v>
      </c>
      <c r="AH385" s="2" t="s">
        <v>5</v>
      </c>
      <c r="AI385" s="2" t="s">
        <v>5</v>
      </c>
      <c r="AJ385" s="2" t="s">
        <v>5</v>
      </c>
      <c r="AK385" s="2" t="s">
        <v>5</v>
      </c>
    </row>
    <row r="386" spans="3:37" ht="12.5">
      <c r="C386" s="2" t="str">
        <f ca="1"/>
        <v/>
      </c>
      <c r="D386" s="2" t="str">
        <v/>
      </c>
      <c r="E386" s="29" t="str">
        <v/>
      </c>
      <c r="F386" s="30" t="str">
        <v/>
      </c>
      <c r="G386" s="29" t="str">
        <v/>
      </c>
      <c r="H386" s="30" t="str">
        <v/>
      </c>
      <c r="I386" s="29" t="str">
        <v/>
      </c>
      <c r="J386" s="29" t="str">
        <v/>
      </c>
      <c r="K386" s="29" t="str">
        <v/>
      </c>
      <c r="L386" s="29" t="str">
        <v/>
      </c>
      <c r="M386" s="29" t="str">
        <v/>
      </c>
      <c r="N386" s="29" t="str">
        <v/>
      </c>
      <c r="O386" s="2" t="str">
        <f ca="1"/>
        <v/>
      </c>
      <c r="P386" s="2" t="str">
        <f ca="1"/>
        <v/>
      </c>
      <c r="Q386" s="2" t="s">
        <v>5</v>
      </c>
      <c r="R386" s="2" t="s">
        <v>5</v>
      </c>
      <c r="U386" s="2"/>
      <c r="V386" s="2" t="s">
        <v>5</v>
      </c>
      <c r="W386" s="2" t="s">
        <v>5</v>
      </c>
      <c r="X386" s="29" t="s">
        <v>5</v>
      </c>
      <c r="Y386" s="30" t="s">
        <v>5</v>
      </c>
      <c r="Z386" s="29" t="s">
        <v>5</v>
      </c>
      <c r="AA386" s="30" t="s">
        <v>5</v>
      </c>
      <c r="AB386" s="29" t="s">
        <v>5</v>
      </c>
      <c r="AC386" s="29" t="s">
        <v>5</v>
      </c>
      <c r="AD386" s="29" t="s">
        <v>5</v>
      </c>
      <c r="AE386" s="29" t="s">
        <v>5</v>
      </c>
      <c r="AF386" s="29" t="s">
        <v>5</v>
      </c>
      <c r="AG386" s="29" t="s">
        <v>5</v>
      </c>
      <c r="AH386" s="2" t="s">
        <v>5</v>
      </c>
      <c r="AI386" s="2" t="s">
        <v>5</v>
      </c>
      <c r="AJ386" s="2" t="s">
        <v>5</v>
      </c>
      <c r="AK386" s="2" t="s">
        <v>5</v>
      </c>
    </row>
    <row r="387" spans="3:37" ht="12.5">
      <c r="C387" s="2" t="str">
        <f ca="1"/>
        <v/>
      </c>
      <c r="D387" s="2" t="str">
        <v/>
      </c>
      <c r="E387" s="29" t="str">
        <v/>
      </c>
      <c r="F387" s="30" t="str">
        <v/>
      </c>
      <c r="G387" s="29" t="str">
        <v/>
      </c>
      <c r="H387" s="30" t="str">
        <v/>
      </c>
      <c r="I387" s="29" t="str">
        <v/>
      </c>
      <c r="J387" s="29" t="str">
        <v/>
      </c>
      <c r="K387" s="29" t="str">
        <v/>
      </c>
      <c r="L387" s="29" t="str">
        <v/>
      </c>
      <c r="M387" s="29" t="str">
        <v/>
      </c>
      <c r="N387" s="29" t="str">
        <v/>
      </c>
      <c r="O387" s="2" t="str">
        <f ca="1"/>
        <v/>
      </c>
      <c r="P387" s="2" t="str">
        <f ca="1"/>
        <v/>
      </c>
      <c r="Q387" s="2" t="s">
        <v>5</v>
      </c>
      <c r="R387" s="2" t="s">
        <v>5</v>
      </c>
      <c r="U387" s="2"/>
      <c r="V387" s="2" t="s">
        <v>5</v>
      </c>
      <c r="W387" s="2" t="s">
        <v>5</v>
      </c>
      <c r="X387" s="29" t="s">
        <v>5</v>
      </c>
      <c r="Y387" s="30" t="s">
        <v>5</v>
      </c>
      <c r="Z387" s="29" t="s">
        <v>5</v>
      </c>
      <c r="AA387" s="30" t="s">
        <v>5</v>
      </c>
      <c r="AB387" s="29" t="s">
        <v>5</v>
      </c>
      <c r="AC387" s="29" t="s">
        <v>5</v>
      </c>
      <c r="AD387" s="29" t="s">
        <v>5</v>
      </c>
      <c r="AE387" s="29" t="s">
        <v>5</v>
      </c>
      <c r="AF387" s="29" t="s">
        <v>5</v>
      </c>
      <c r="AG387" s="29" t="s">
        <v>5</v>
      </c>
      <c r="AH387" s="2" t="s">
        <v>5</v>
      </c>
      <c r="AI387" s="2" t="s">
        <v>5</v>
      </c>
      <c r="AJ387" s="2" t="s">
        <v>5</v>
      </c>
      <c r="AK387" s="2" t="s">
        <v>5</v>
      </c>
    </row>
    <row r="388" spans="3:37" ht="12.5">
      <c r="C388" s="2" t="str">
        <f ca="1"/>
        <v/>
      </c>
      <c r="D388" s="2" t="str">
        <v/>
      </c>
      <c r="E388" s="29" t="str">
        <v/>
      </c>
      <c r="F388" s="30" t="str">
        <v/>
      </c>
      <c r="G388" s="29" t="str">
        <v/>
      </c>
      <c r="H388" s="30" t="str">
        <v/>
      </c>
      <c r="I388" s="29" t="str">
        <v/>
      </c>
      <c r="J388" s="29" t="str">
        <v/>
      </c>
      <c r="K388" s="29" t="str">
        <v/>
      </c>
      <c r="L388" s="29" t="str">
        <v/>
      </c>
      <c r="M388" s="29" t="str">
        <v/>
      </c>
      <c r="N388" s="29" t="str">
        <v/>
      </c>
      <c r="O388" s="2" t="str">
        <f ca="1"/>
        <v/>
      </c>
      <c r="P388" s="2" t="str">
        <f ca="1"/>
        <v/>
      </c>
      <c r="Q388" s="2" t="s">
        <v>5</v>
      </c>
      <c r="R388" s="2" t="s">
        <v>5</v>
      </c>
      <c r="U388" s="2"/>
      <c r="V388" s="2" t="s">
        <v>5</v>
      </c>
      <c r="W388" s="2" t="s">
        <v>5</v>
      </c>
      <c r="X388" s="29" t="s">
        <v>5</v>
      </c>
      <c r="Y388" s="30" t="s">
        <v>5</v>
      </c>
      <c r="Z388" s="29" t="s">
        <v>5</v>
      </c>
      <c r="AA388" s="30" t="s">
        <v>5</v>
      </c>
      <c r="AB388" s="29" t="s">
        <v>5</v>
      </c>
      <c r="AC388" s="29" t="s">
        <v>5</v>
      </c>
      <c r="AD388" s="29" t="s">
        <v>5</v>
      </c>
      <c r="AE388" s="29" t="s">
        <v>5</v>
      </c>
      <c r="AF388" s="29" t="s">
        <v>5</v>
      </c>
      <c r="AG388" s="29" t="s">
        <v>5</v>
      </c>
      <c r="AH388" s="2" t="s">
        <v>5</v>
      </c>
      <c r="AI388" s="2" t="s">
        <v>5</v>
      </c>
      <c r="AJ388" s="2" t="s">
        <v>5</v>
      </c>
      <c r="AK388" s="2" t="s">
        <v>5</v>
      </c>
    </row>
    <row r="389" spans="3:37" ht="12.5">
      <c r="C389" s="2" t="str">
        <f ca="1"/>
        <v/>
      </c>
      <c r="D389" s="2" t="str">
        <v/>
      </c>
      <c r="E389" s="29" t="str">
        <v/>
      </c>
      <c r="F389" s="30" t="str">
        <v/>
      </c>
      <c r="G389" s="29" t="str">
        <v/>
      </c>
      <c r="H389" s="30" t="str">
        <v/>
      </c>
      <c r="I389" s="29" t="str">
        <v/>
      </c>
      <c r="J389" s="29" t="str">
        <v/>
      </c>
      <c r="K389" s="29" t="str">
        <v/>
      </c>
      <c r="L389" s="29" t="str">
        <v/>
      </c>
      <c r="M389" s="29" t="str">
        <v/>
      </c>
      <c r="N389" s="29" t="str">
        <v/>
      </c>
      <c r="O389" s="2" t="str">
        <f ca="1"/>
        <v/>
      </c>
      <c r="P389" s="2" t="str">
        <f ca="1"/>
        <v/>
      </c>
      <c r="Q389" s="2" t="s">
        <v>5</v>
      </c>
      <c r="R389" s="2" t="s">
        <v>5</v>
      </c>
      <c r="U389" s="2"/>
      <c r="V389" s="2" t="s">
        <v>5</v>
      </c>
      <c r="W389" s="2" t="s">
        <v>5</v>
      </c>
      <c r="X389" s="29" t="s">
        <v>5</v>
      </c>
      <c r="Y389" s="30" t="s">
        <v>5</v>
      </c>
      <c r="Z389" s="29" t="s">
        <v>5</v>
      </c>
      <c r="AA389" s="30" t="s">
        <v>5</v>
      </c>
      <c r="AB389" s="29" t="s">
        <v>5</v>
      </c>
      <c r="AC389" s="29" t="s">
        <v>5</v>
      </c>
      <c r="AD389" s="29" t="s">
        <v>5</v>
      </c>
      <c r="AE389" s="29" t="s">
        <v>5</v>
      </c>
      <c r="AF389" s="29" t="s">
        <v>5</v>
      </c>
      <c r="AG389" s="29" t="s">
        <v>5</v>
      </c>
      <c r="AH389" s="2" t="s">
        <v>5</v>
      </c>
      <c r="AI389" s="2" t="s">
        <v>5</v>
      </c>
      <c r="AJ389" s="2" t="s">
        <v>5</v>
      </c>
      <c r="AK389" s="2" t="s">
        <v>5</v>
      </c>
    </row>
    <row r="390" spans="3:37" ht="12.5">
      <c r="C390" s="2" t="str">
        <f ca="1"/>
        <v/>
      </c>
      <c r="D390" s="2" t="str">
        <v/>
      </c>
      <c r="E390" s="29" t="str">
        <v/>
      </c>
      <c r="F390" s="30" t="str">
        <v/>
      </c>
      <c r="G390" s="29" t="str">
        <v/>
      </c>
      <c r="H390" s="30" t="str">
        <v/>
      </c>
      <c r="I390" s="29" t="str">
        <v/>
      </c>
      <c r="J390" s="29" t="str">
        <v/>
      </c>
      <c r="K390" s="29" t="str">
        <v/>
      </c>
      <c r="L390" s="29" t="str">
        <v/>
      </c>
      <c r="M390" s="29" t="str">
        <v/>
      </c>
      <c r="N390" s="29" t="str">
        <v/>
      </c>
      <c r="O390" s="2" t="str">
        <f ca="1"/>
        <v/>
      </c>
      <c r="P390" s="2" t="str">
        <f ca="1"/>
        <v/>
      </c>
      <c r="Q390" s="2" t="s">
        <v>5</v>
      </c>
      <c r="R390" s="2" t="s">
        <v>5</v>
      </c>
      <c r="U390" s="2"/>
      <c r="V390" s="2" t="s">
        <v>5</v>
      </c>
      <c r="W390" s="2" t="s">
        <v>5</v>
      </c>
      <c r="X390" s="29" t="s">
        <v>5</v>
      </c>
      <c r="Y390" s="30" t="s">
        <v>5</v>
      </c>
      <c r="Z390" s="29" t="s">
        <v>5</v>
      </c>
      <c r="AA390" s="30" t="s">
        <v>5</v>
      </c>
      <c r="AB390" s="29" t="s">
        <v>5</v>
      </c>
      <c r="AC390" s="29" t="s">
        <v>5</v>
      </c>
      <c r="AD390" s="29" t="s">
        <v>5</v>
      </c>
      <c r="AE390" s="29" t="s">
        <v>5</v>
      </c>
      <c r="AF390" s="29" t="s">
        <v>5</v>
      </c>
      <c r="AG390" s="29" t="s">
        <v>5</v>
      </c>
      <c r="AH390" s="2" t="s">
        <v>5</v>
      </c>
      <c r="AI390" s="2" t="s">
        <v>5</v>
      </c>
      <c r="AJ390" s="2" t="s">
        <v>5</v>
      </c>
      <c r="AK390" s="2" t="s">
        <v>5</v>
      </c>
    </row>
    <row r="391" spans="3:37" ht="12.5">
      <c r="C391" s="2" t="str">
        <f ca="1"/>
        <v/>
      </c>
      <c r="D391" s="2" t="str">
        <v/>
      </c>
      <c r="E391" s="29" t="str">
        <v/>
      </c>
      <c r="F391" s="30" t="str">
        <v/>
      </c>
      <c r="G391" s="29" t="str">
        <v/>
      </c>
      <c r="H391" s="30" t="str">
        <v/>
      </c>
      <c r="I391" s="29" t="str">
        <v/>
      </c>
      <c r="J391" s="29" t="str">
        <v/>
      </c>
      <c r="K391" s="29" t="str">
        <v/>
      </c>
      <c r="L391" s="29" t="str">
        <v/>
      </c>
      <c r="M391" s="29" t="str">
        <v/>
      </c>
      <c r="N391" s="29" t="str">
        <v/>
      </c>
      <c r="O391" s="2" t="str">
        <f ca="1"/>
        <v/>
      </c>
      <c r="P391" s="2" t="str">
        <f ca="1"/>
        <v/>
      </c>
      <c r="Q391" s="2" t="s">
        <v>5</v>
      </c>
      <c r="R391" s="2" t="s">
        <v>5</v>
      </c>
      <c r="U391" s="2"/>
      <c r="V391" s="2" t="s">
        <v>5</v>
      </c>
      <c r="W391" s="2" t="s">
        <v>5</v>
      </c>
      <c r="X391" s="29" t="s">
        <v>5</v>
      </c>
      <c r="Y391" s="30" t="s">
        <v>5</v>
      </c>
      <c r="Z391" s="29" t="s">
        <v>5</v>
      </c>
      <c r="AA391" s="30" t="s">
        <v>5</v>
      </c>
      <c r="AB391" s="29" t="s">
        <v>5</v>
      </c>
      <c r="AC391" s="29" t="s">
        <v>5</v>
      </c>
      <c r="AD391" s="29" t="s">
        <v>5</v>
      </c>
      <c r="AE391" s="29" t="s">
        <v>5</v>
      </c>
      <c r="AF391" s="29" t="s">
        <v>5</v>
      </c>
      <c r="AG391" s="29" t="s">
        <v>5</v>
      </c>
      <c r="AH391" s="2" t="s">
        <v>5</v>
      </c>
      <c r="AI391" s="2" t="s">
        <v>5</v>
      </c>
      <c r="AJ391" s="2" t="s">
        <v>5</v>
      </c>
      <c r="AK391" s="2" t="s">
        <v>5</v>
      </c>
    </row>
    <row r="392" spans="3:37" ht="12.5">
      <c r="C392" s="2" t="str">
        <f ca="1"/>
        <v/>
      </c>
      <c r="D392" s="2" t="str">
        <v/>
      </c>
      <c r="E392" s="29" t="str">
        <v/>
      </c>
      <c r="F392" s="30" t="str">
        <v/>
      </c>
      <c r="G392" s="29" t="str">
        <v/>
      </c>
      <c r="H392" s="30" t="str">
        <v/>
      </c>
      <c r="I392" s="29" t="str">
        <v/>
      </c>
      <c r="J392" s="29" t="str">
        <v/>
      </c>
      <c r="K392" s="29" t="str">
        <v/>
      </c>
      <c r="L392" s="29" t="str">
        <v/>
      </c>
      <c r="M392" s="29" t="str">
        <v/>
      </c>
      <c r="N392" s="29" t="str">
        <v/>
      </c>
      <c r="O392" s="2" t="str">
        <f ca="1"/>
        <v/>
      </c>
      <c r="P392" s="2" t="str">
        <f ca="1"/>
        <v/>
      </c>
      <c r="Q392" s="2" t="s">
        <v>5</v>
      </c>
      <c r="R392" s="2" t="s">
        <v>5</v>
      </c>
      <c r="U392" s="2"/>
      <c r="V392" s="2" t="s">
        <v>5</v>
      </c>
      <c r="W392" s="2" t="s">
        <v>5</v>
      </c>
      <c r="X392" s="29" t="s">
        <v>5</v>
      </c>
      <c r="Y392" s="30" t="s">
        <v>5</v>
      </c>
      <c r="Z392" s="29" t="s">
        <v>5</v>
      </c>
      <c r="AA392" s="30" t="s">
        <v>5</v>
      </c>
      <c r="AB392" s="29" t="s">
        <v>5</v>
      </c>
      <c r="AC392" s="29" t="s">
        <v>5</v>
      </c>
      <c r="AD392" s="29" t="s">
        <v>5</v>
      </c>
      <c r="AE392" s="29" t="s">
        <v>5</v>
      </c>
      <c r="AF392" s="29" t="s">
        <v>5</v>
      </c>
      <c r="AG392" s="29" t="s">
        <v>5</v>
      </c>
      <c r="AH392" s="2" t="s">
        <v>5</v>
      </c>
      <c r="AI392" s="2" t="s">
        <v>5</v>
      </c>
      <c r="AJ392" s="2" t="s">
        <v>5</v>
      </c>
      <c r="AK392" s="2" t="s">
        <v>5</v>
      </c>
    </row>
    <row r="393" spans="3:37" ht="12.5">
      <c r="C393" s="2" t="str">
        <f ca="1"/>
        <v/>
      </c>
      <c r="D393" s="2" t="str">
        <v/>
      </c>
      <c r="E393" s="29" t="str">
        <v/>
      </c>
      <c r="F393" s="30" t="str">
        <v/>
      </c>
      <c r="G393" s="29" t="str">
        <v/>
      </c>
      <c r="H393" s="30" t="str">
        <v/>
      </c>
      <c r="I393" s="29" t="str">
        <v/>
      </c>
      <c r="J393" s="29" t="str">
        <v/>
      </c>
      <c r="K393" s="29" t="str">
        <v/>
      </c>
      <c r="L393" s="29" t="str">
        <v/>
      </c>
      <c r="M393" s="29" t="str">
        <v/>
      </c>
      <c r="N393" s="29" t="str">
        <v/>
      </c>
      <c r="O393" s="2" t="str">
        <f ca="1"/>
        <v/>
      </c>
      <c r="P393" s="2" t="str">
        <f ca="1"/>
        <v/>
      </c>
      <c r="Q393" s="2" t="s">
        <v>5</v>
      </c>
      <c r="R393" s="2" t="s">
        <v>5</v>
      </c>
      <c r="U393" s="2"/>
      <c r="V393" s="2" t="s">
        <v>5</v>
      </c>
      <c r="W393" s="2" t="s">
        <v>5</v>
      </c>
      <c r="X393" s="29" t="s">
        <v>5</v>
      </c>
      <c r="Y393" s="30" t="s">
        <v>5</v>
      </c>
      <c r="Z393" s="29" t="s">
        <v>5</v>
      </c>
      <c r="AA393" s="30" t="s">
        <v>5</v>
      </c>
      <c r="AB393" s="29" t="s">
        <v>5</v>
      </c>
      <c r="AC393" s="29" t="s">
        <v>5</v>
      </c>
      <c r="AD393" s="29" t="s">
        <v>5</v>
      </c>
      <c r="AE393" s="29" t="s">
        <v>5</v>
      </c>
      <c r="AF393" s="29" t="s">
        <v>5</v>
      </c>
      <c r="AG393" s="29" t="s">
        <v>5</v>
      </c>
      <c r="AH393" s="2" t="s">
        <v>5</v>
      </c>
      <c r="AI393" s="2" t="s">
        <v>5</v>
      </c>
      <c r="AJ393" s="2" t="s">
        <v>5</v>
      </c>
      <c r="AK393" s="2" t="s">
        <v>5</v>
      </c>
    </row>
    <row r="394" spans="3:37" ht="12.5">
      <c r="C394" s="2" t="str">
        <f ca="1"/>
        <v/>
      </c>
      <c r="D394" s="2" t="str">
        <v/>
      </c>
      <c r="E394" s="29" t="str">
        <v/>
      </c>
      <c r="F394" s="30" t="str">
        <v/>
      </c>
      <c r="G394" s="29" t="str">
        <v/>
      </c>
      <c r="H394" s="30" t="str">
        <v/>
      </c>
      <c r="I394" s="29" t="str">
        <v/>
      </c>
      <c r="J394" s="29" t="str">
        <v/>
      </c>
      <c r="K394" s="29" t="str">
        <v/>
      </c>
      <c r="L394" s="29" t="str">
        <v/>
      </c>
      <c r="M394" s="29" t="str">
        <v/>
      </c>
      <c r="N394" s="29" t="str">
        <v/>
      </c>
      <c r="O394" s="2" t="str">
        <f ca="1"/>
        <v/>
      </c>
      <c r="P394" s="2" t="str">
        <f ca="1"/>
        <v/>
      </c>
      <c r="Q394" s="2" t="s">
        <v>5</v>
      </c>
      <c r="R394" s="2" t="s">
        <v>5</v>
      </c>
      <c r="U394" s="2"/>
      <c r="V394" s="2" t="s">
        <v>5</v>
      </c>
      <c r="W394" s="2" t="s">
        <v>5</v>
      </c>
      <c r="X394" s="29" t="s">
        <v>5</v>
      </c>
      <c r="Y394" s="30" t="s">
        <v>5</v>
      </c>
      <c r="Z394" s="29" t="s">
        <v>5</v>
      </c>
      <c r="AA394" s="30" t="s">
        <v>5</v>
      </c>
      <c r="AB394" s="29" t="s">
        <v>5</v>
      </c>
      <c r="AC394" s="29" t="s">
        <v>5</v>
      </c>
      <c r="AD394" s="29" t="s">
        <v>5</v>
      </c>
      <c r="AE394" s="29" t="s">
        <v>5</v>
      </c>
      <c r="AF394" s="29" t="s">
        <v>5</v>
      </c>
      <c r="AG394" s="29" t="s">
        <v>5</v>
      </c>
      <c r="AH394" s="2" t="s">
        <v>5</v>
      </c>
      <c r="AI394" s="2" t="s">
        <v>5</v>
      </c>
      <c r="AJ394" s="2" t="s">
        <v>5</v>
      </c>
      <c r="AK394" s="2" t="s">
        <v>5</v>
      </c>
    </row>
    <row r="395" spans="3:37" ht="12.5">
      <c r="C395" s="2" t="str">
        <f ca="1"/>
        <v/>
      </c>
      <c r="D395" s="2" t="str">
        <v/>
      </c>
      <c r="E395" s="29" t="str">
        <v/>
      </c>
      <c r="F395" s="30" t="str">
        <v/>
      </c>
      <c r="G395" s="29" t="str">
        <v/>
      </c>
      <c r="H395" s="30" t="str">
        <v/>
      </c>
      <c r="I395" s="29" t="str">
        <v/>
      </c>
      <c r="J395" s="29" t="str">
        <v/>
      </c>
      <c r="K395" s="29" t="str">
        <v/>
      </c>
      <c r="L395" s="29" t="str">
        <v/>
      </c>
      <c r="M395" s="29" t="str">
        <v/>
      </c>
      <c r="N395" s="29" t="str">
        <v/>
      </c>
      <c r="O395" s="2" t="str">
        <f ca="1"/>
        <v/>
      </c>
      <c r="P395" s="2" t="str">
        <f ca="1"/>
        <v/>
      </c>
      <c r="Q395" s="2" t="s">
        <v>5</v>
      </c>
      <c r="R395" s="2" t="s">
        <v>5</v>
      </c>
      <c r="U395" s="2"/>
      <c r="V395" s="2" t="s">
        <v>5</v>
      </c>
      <c r="W395" s="2" t="s">
        <v>5</v>
      </c>
      <c r="X395" s="29" t="s">
        <v>5</v>
      </c>
      <c r="Y395" s="30" t="s">
        <v>5</v>
      </c>
      <c r="Z395" s="29" t="s">
        <v>5</v>
      </c>
      <c r="AA395" s="30" t="s">
        <v>5</v>
      </c>
      <c r="AB395" s="29" t="s">
        <v>5</v>
      </c>
      <c r="AC395" s="29" t="s">
        <v>5</v>
      </c>
      <c r="AD395" s="29" t="s">
        <v>5</v>
      </c>
      <c r="AE395" s="29" t="s">
        <v>5</v>
      </c>
      <c r="AF395" s="29" t="s">
        <v>5</v>
      </c>
      <c r="AG395" s="29" t="s">
        <v>5</v>
      </c>
      <c r="AH395" s="2" t="s">
        <v>5</v>
      </c>
      <c r="AI395" s="2" t="s">
        <v>5</v>
      </c>
      <c r="AJ395" s="2" t="s">
        <v>5</v>
      </c>
      <c r="AK395" s="2" t="s">
        <v>5</v>
      </c>
    </row>
    <row r="396" spans="3:37" ht="12.5">
      <c r="C396" s="2" t="str">
        <f ca="1"/>
        <v/>
      </c>
      <c r="D396" s="2" t="str">
        <v/>
      </c>
      <c r="E396" s="29" t="str">
        <v/>
      </c>
      <c r="F396" s="30" t="str">
        <v/>
      </c>
      <c r="G396" s="29" t="str">
        <v/>
      </c>
      <c r="H396" s="30" t="str">
        <v/>
      </c>
      <c r="I396" s="29" t="str">
        <v/>
      </c>
      <c r="J396" s="29" t="str">
        <v/>
      </c>
      <c r="K396" s="29" t="str">
        <v/>
      </c>
      <c r="L396" s="29" t="str">
        <v/>
      </c>
      <c r="M396" s="29" t="str">
        <v/>
      </c>
      <c r="N396" s="29" t="str">
        <v/>
      </c>
      <c r="O396" s="2" t="str">
        <f ca="1"/>
        <v/>
      </c>
      <c r="P396" s="2" t="str">
        <f ca="1"/>
        <v/>
      </c>
      <c r="Q396" s="2" t="s">
        <v>5</v>
      </c>
      <c r="R396" s="2" t="s">
        <v>5</v>
      </c>
      <c r="U396" s="2"/>
      <c r="V396" s="2" t="s">
        <v>5</v>
      </c>
      <c r="W396" s="2" t="s">
        <v>5</v>
      </c>
      <c r="X396" s="29" t="s">
        <v>5</v>
      </c>
      <c r="Y396" s="30" t="s">
        <v>5</v>
      </c>
      <c r="Z396" s="29" t="s">
        <v>5</v>
      </c>
      <c r="AA396" s="30" t="s">
        <v>5</v>
      </c>
      <c r="AB396" s="29" t="s">
        <v>5</v>
      </c>
      <c r="AC396" s="29" t="s">
        <v>5</v>
      </c>
      <c r="AD396" s="29" t="s">
        <v>5</v>
      </c>
      <c r="AE396" s="29" t="s">
        <v>5</v>
      </c>
      <c r="AF396" s="29" t="s">
        <v>5</v>
      </c>
      <c r="AG396" s="29" t="s">
        <v>5</v>
      </c>
      <c r="AH396" s="2" t="s">
        <v>5</v>
      </c>
      <c r="AI396" s="2" t="s">
        <v>5</v>
      </c>
      <c r="AJ396" s="2" t="s">
        <v>5</v>
      </c>
      <c r="AK396" s="2" t="s">
        <v>5</v>
      </c>
    </row>
    <row r="397" spans="3:37" ht="12.5">
      <c r="C397" s="2" t="str">
        <f ca="1"/>
        <v/>
      </c>
      <c r="D397" s="2" t="str">
        <v/>
      </c>
      <c r="E397" s="29" t="str">
        <v/>
      </c>
      <c r="F397" s="30" t="str">
        <v/>
      </c>
      <c r="G397" s="29" t="str">
        <v/>
      </c>
      <c r="H397" s="30" t="str">
        <v/>
      </c>
      <c r="I397" s="29" t="str">
        <v/>
      </c>
      <c r="J397" s="29" t="str">
        <v/>
      </c>
      <c r="K397" s="29" t="str">
        <v/>
      </c>
      <c r="L397" s="29" t="str">
        <v/>
      </c>
      <c r="M397" s="29" t="str">
        <v/>
      </c>
      <c r="N397" s="29" t="str">
        <v/>
      </c>
      <c r="O397" s="2" t="str">
        <f ca="1"/>
        <v/>
      </c>
      <c r="P397" s="2" t="str">
        <f ca="1"/>
        <v/>
      </c>
      <c r="Q397" s="2" t="s">
        <v>5</v>
      </c>
      <c r="R397" s="2" t="s">
        <v>5</v>
      </c>
      <c r="U397" s="2"/>
      <c r="V397" s="2" t="s">
        <v>5</v>
      </c>
      <c r="W397" s="2" t="s">
        <v>5</v>
      </c>
      <c r="X397" s="29" t="s">
        <v>5</v>
      </c>
      <c r="Y397" s="30" t="s">
        <v>5</v>
      </c>
      <c r="Z397" s="29" t="s">
        <v>5</v>
      </c>
      <c r="AA397" s="30" t="s">
        <v>5</v>
      </c>
      <c r="AB397" s="29" t="s">
        <v>5</v>
      </c>
      <c r="AC397" s="29" t="s">
        <v>5</v>
      </c>
      <c r="AD397" s="29" t="s">
        <v>5</v>
      </c>
      <c r="AE397" s="29" t="s">
        <v>5</v>
      </c>
      <c r="AF397" s="29" t="s">
        <v>5</v>
      </c>
      <c r="AG397" s="29" t="s">
        <v>5</v>
      </c>
      <c r="AH397" s="2" t="s">
        <v>5</v>
      </c>
      <c r="AI397" s="2" t="s">
        <v>5</v>
      </c>
      <c r="AJ397" s="2" t="s">
        <v>5</v>
      </c>
      <c r="AK397" s="2" t="s">
        <v>5</v>
      </c>
    </row>
    <row r="398" spans="3:37" ht="12.5">
      <c r="C398" s="2" t="str">
        <f ca="1"/>
        <v/>
      </c>
      <c r="D398" s="2" t="str">
        <v/>
      </c>
      <c r="E398" s="29" t="str">
        <v/>
      </c>
      <c r="F398" s="30" t="str">
        <v/>
      </c>
      <c r="G398" s="29" t="str">
        <v/>
      </c>
      <c r="H398" s="30" t="str">
        <v/>
      </c>
      <c r="I398" s="29" t="str">
        <v/>
      </c>
      <c r="J398" s="29" t="str">
        <v/>
      </c>
      <c r="K398" s="29" t="str">
        <v/>
      </c>
      <c r="L398" s="29" t="str">
        <v/>
      </c>
      <c r="M398" s="29" t="str">
        <v/>
      </c>
      <c r="N398" s="29" t="str">
        <v/>
      </c>
      <c r="O398" s="2" t="str">
        <f ca="1"/>
        <v/>
      </c>
      <c r="P398" s="2" t="str">
        <f ca="1"/>
        <v/>
      </c>
      <c r="Q398" s="2" t="s">
        <v>5</v>
      </c>
      <c r="R398" s="2" t="s">
        <v>5</v>
      </c>
      <c r="U398" s="2"/>
      <c r="V398" s="2" t="s">
        <v>5</v>
      </c>
      <c r="W398" s="2" t="s">
        <v>5</v>
      </c>
      <c r="X398" s="29" t="s">
        <v>5</v>
      </c>
      <c r="Y398" s="30" t="s">
        <v>5</v>
      </c>
      <c r="Z398" s="29" t="s">
        <v>5</v>
      </c>
      <c r="AA398" s="30" t="s">
        <v>5</v>
      </c>
      <c r="AB398" s="29" t="s">
        <v>5</v>
      </c>
      <c r="AC398" s="29" t="s">
        <v>5</v>
      </c>
      <c r="AD398" s="29" t="s">
        <v>5</v>
      </c>
      <c r="AE398" s="29" t="s">
        <v>5</v>
      </c>
      <c r="AF398" s="29" t="s">
        <v>5</v>
      </c>
      <c r="AG398" s="29" t="s">
        <v>5</v>
      </c>
      <c r="AH398" s="2" t="s">
        <v>5</v>
      </c>
      <c r="AI398" s="2" t="s">
        <v>5</v>
      </c>
      <c r="AJ398" s="2" t="s">
        <v>5</v>
      </c>
      <c r="AK398" s="2" t="s">
        <v>5</v>
      </c>
    </row>
    <row r="399" spans="3:37" ht="12.5">
      <c r="C399" s="2" t="str">
        <f ca="1"/>
        <v/>
      </c>
      <c r="D399" s="2" t="str">
        <v/>
      </c>
      <c r="E399" s="29" t="str">
        <v/>
      </c>
      <c r="F399" s="30" t="str">
        <v/>
      </c>
      <c r="G399" s="29" t="str">
        <v/>
      </c>
      <c r="H399" s="30" t="str">
        <v/>
      </c>
      <c r="I399" s="29" t="str">
        <v/>
      </c>
      <c r="J399" s="29" t="str">
        <v/>
      </c>
      <c r="K399" s="29" t="str">
        <v/>
      </c>
      <c r="L399" s="29" t="str">
        <v/>
      </c>
      <c r="M399" s="29" t="str">
        <v/>
      </c>
      <c r="N399" s="29" t="str">
        <v/>
      </c>
      <c r="O399" s="2" t="str">
        <f ca="1"/>
        <v/>
      </c>
      <c r="P399" s="2" t="str">
        <f ca="1"/>
        <v/>
      </c>
      <c r="Q399" s="2" t="s">
        <v>5</v>
      </c>
      <c r="R399" s="2" t="s">
        <v>5</v>
      </c>
      <c r="U399" s="2"/>
      <c r="V399" s="2" t="s">
        <v>5</v>
      </c>
      <c r="W399" s="2" t="s">
        <v>5</v>
      </c>
      <c r="X399" s="29" t="s">
        <v>5</v>
      </c>
      <c r="Y399" s="30" t="s">
        <v>5</v>
      </c>
      <c r="Z399" s="29" t="s">
        <v>5</v>
      </c>
      <c r="AA399" s="30" t="s">
        <v>5</v>
      </c>
      <c r="AB399" s="29" t="s">
        <v>5</v>
      </c>
      <c r="AC399" s="29" t="s">
        <v>5</v>
      </c>
      <c r="AD399" s="29" t="s">
        <v>5</v>
      </c>
      <c r="AE399" s="29" t="s">
        <v>5</v>
      </c>
      <c r="AF399" s="29" t="s">
        <v>5</v>
      </c>
      <c r="AG399" s="29" t="s">
        <v>5</v>
      </c>
      <c r="AH399" s="2" t="s">
        <v>5</v>
      </c>
      <c r="AI399" s="2" t="s">
        <v>5</v>
      </c>
      <c r="AJ399" s="2" t="s">
        <v>5</v>
      </c>
      <c r="AK399" s="2" t="s">
        <v>5</v>
      </c>
    </row>
    <row r="400" spans="3:37" ht="12.5">
      <c r="C400" s="2" t="str">
        <f ca="1"/>
        <v/>
      </c>
      <c r="D400" s="2" t="str">
        <v/>
      </c>
      <c r="E400" s="29" t="str">
        <v/>
      </c>
      <c r="F400" s="30" t="str">
        <v/>
      </c>
      <c r="G400" s="29" t="str">
        <v/>
      </c>
      <c r="H400" s="30" t="str">
        <v/>
      </c>
      <c r="I400" s="29" t="str">
        <v/>
      </c>
      <c r="J400" s="29" t="str">
        <v/>
      </c>
      <c r="K400" s="29" t="str">
        <v/>
      </c>
      <c r="L400" s="29" t="str">
        <v/>
      </c>
      <c r="M400" s="29" t="str">
        <v/>
      </c>
      <c r="N400" s="29" t="str">
        <v/>
      </c>
      <c r="O400" s="2" t="str">
        <f ca="1"/>
        <v/>
      </c>
      <c r="P400" s="2" t="str">
        <f ca="1"/>
        <v/>
      </c>
      <c r="Q400" s="2" t="s">
        <v>5</v>
      </c>
      <c r="R400" s="2" t="s">
        <v>5</v>
      </c>
      <c r="U400" s="2"/>
      <c r="V400" s="2" t="s">
        <v>5</v>
      </c>
      <c r="W400" s="2" t="s">
        <v>5</v>
      </c>
      <c r="X400" s="29" t="s">
        <v>5</v>
      </c>
      <c r="Y400" s="30" t="s">
        <v>5</v>
      </c>
      <c r="Z400" s="29" t="s">
        <v>5</v>
      </c>
      <c r="AA400" s="30" t="s">
        <v>5</v>
      </c>
      <c r="AB400" s="29" t="s">
        <v>5</v>
      </c>
      <c r="AC400" s="29" t="s">
        <v>5</v>
      </c>
      <c r="AD400" s="29" t="s">
        <v>5</v>
      </c>
      <c r="AE400" s="29" t="s">
        <v>5</v>
      </c>
      <c r="AF400" s="29" t="s">
        <v>5</v>
      </c>
      <c r="AG400" s="29" t="s">
        <v>5</v>
      </c>
      <c r="AH400" s="2" t="s">
        <v>5</v>
      </c>
      <c r="AI400" s="2" t="s">
        <v>5</v>
      </c>
      <c r="AJ400" s="2" t="s">
        <v>5</v>
      </c>
      <c r="AK400" s="2" t="s">
        <v>5</v>
      </c>
    </row>
    <row r="401" spans="3:37" ht="12.5">
      <c r="C401" s="2" t="str">
        <f ca="1"/>
        <v/>
      </c>
      <c r="D401" s="2" t="str">
        <v/>
      </c>
      <c r="E401" s="29" t="str">
        <v/>
      </c>
      <c r="F401" s="30" t="str">
        <v/>
      </c>
      <c r="G401" s="29" t="str">
        <v/>
      </c>
      <c r="H401" s="30" t="str">
        <v/>
      </c>
      <c r="I401" s="29" t="str">
        <v/>
      </c>
      <c r="J401" s="29" t="str">
        <v/>
      </c>
      <c r="K401" s="29" t="str">
        <v/>
      </c>
      <c r="L401" s="29" t="str">
        <v/>
      </c>
      <c r="M401" s="29" t="str">
        <v/>
      </c>
      <c r="N401" s="29" t="str">
        <v/>
      </c>
      <c r="O401" s="2" t="str">
        <f ca="1"/>
        <v/>
      </c>
      <c r="P401" s="2" t="str">
        <f ca="1"/>
        <v/>
      </c>
      <c r="Q401" s="2" t="s">
        <v>5</v>
      </c>
      <c r="R401" s="2" t="s">
        <v>5</v>
      </c>
      <c r="U401" s="2"/>
      <c r="V401" s="2" t="s">
        <v>5</v>
      </c>
      <c r="W401" s="2" t="s">
        <v>5</v>
      </c>
      <c r="X401" s="29" t="s">
        <v>5</v>
      </c>
      <c r="Y401" s="30" t="s">
        <v>5</v>
      </c>
      <c r="Z401" s="29" t="s">
        <v>5</v>
      </c>
      <c r="AA401" s="30" t="s">
        <v>5</v>
      </c>
      <c r="AB401" s="29" t="s">
        <v>5</v>
      </c>
      <c r="AC401" s="29" t="s">
        <v>5</v>
      </c>
      <c r="AD401" s="29" t="s">
        <v>5</v>
      </c>
      <c r="AE401" s="29" t="s">
        <v>5</v>
      </c>
      <c r="AF401" s="29" t="s">
        <v>5</v>
      </c>
      <c r="AG401" s="29" t="s">
        <v>5</v>
      </c>
      <c r="AH401" s="2" t="s">
        <v>5</v>
      </c>
      <c r="AI401" s="2" t="s">
        <v>5</v>
      </c>
      <c r="AJ401" s="2" t="s">
        <v>5</v>
      </c>
      <c r="AK401" s="2" t="s">
        <v>5</v>
      </c>
    </row>
    <row r="402" spans="3:37" ht="12.5">
      <c r="C402" s="2" t="str">
        <f ca="1"/>
        <v/>
      </c>
      <c r="D402" s="2" t="str">
        <v/>
      </c>
      <c r="E402" s="29" t="str">
        <v/>
      </c>
      <c r="F402" s="30" t="str">
        <v/>
      </c>
      <c r="G402" s="29" t="str">
        <v/>
      </c>
      <c r="H402" s="30" t="str">
        <v/>
      </c>
      <c r="I402" s="29" t="str">
        <v/>
      </c>
      <c r="J402" s="29" t="str">
        <v/>
      </c>
      <c r="K402" s="29" t="str">
        <v/>
      </c>
      <c r="L402" s="29" t="str">
        <v/>
      </c>
      <c r="M402" s="29" t="str">
        <v/>
      </c>
      <c r="N402" s="29" t="str">
        <v/>
      </c>
      <c r="O402" s="2" t="str">
        <f ca="1"/>
        <v/>
      </c>
      <c r="P402" s="2" t="str">
        <f ca="1"/>
        <v/>
      </c>
      <c r="Q402" s="2" t="s">
        <v>5</v>
      </c>
      <c r="R402" s="2" t="s">
        <v>5</v>
      </c>
      <c r="U402" s="2"/>
      <c r="V402" s="2" t="s">
        <v>5</v>
      </c>
      <c r="W402" s="2" t="s">
        <v>5</v>
      </c>
      <c r="X402" s="29" t="s">
        <v>5</v>
      </c>
      <c r="Y402" s="30" t="s">
        <v>5</v>
      </c>
      <c r="Z402" s="29" t="s">
        <v>5</v>
      </c>
      <c r="AA402" s="30" t="s">
        <v>5</v>
      </c>
      <c r="AB402" s="29" t="s">
        <v>5</v>
      </c>
      <c r="AC402" s="29" t="s">
        <v>5</v>
      </c>
      <c r="AD402" s="29" t="s">
        <v>5</v>
      </c>
      <c r="AE402" s="29" t="s">
        <v>5</v>
      </c>
      <c r="AF402" s="29" t="s">
        <v>5</v>
      </c>
      <c r="AG402" s="29" t="s">
        <v>5</v>
      </c>
      <c r="AH402" s="2" t="s">
        <v>5</v>
      </c>
      <c r="AI402" s="2" t="s">
        <v>5</v>
      </c>
      <c r="AJ402" s="2" t="s">
        <v>5</v>
      </c>
      <c r="AK402" s="2" t="s">
        <v>5</v>
      </c>
    </row>
    <row r="403" spans="3:37" ht="12.5">
      <c r="C403" s="2" t="str">
        <f ca="1"/>
        <v/>
      </c>
      <c r="D403" s="2" t="str">
        <v/>
      </c>
      <c r="E403" s="29" t="str">
        <v/>
      </c>
      <c r="F403" s="30" t="str">
        <v/>
      </c>
      <c r="G403" s="29" t="str">
        <v/>
      </c>
      <c r="H403" s="30" t="str">
        <v/>
      </c>
      <c r="I403" s="29" t="str">
        <v/>
      </c>
      <c r="J403" s="29" t="str">
        <v/>
      </c>
      <c r="K403" s="29" t="str">
        <v/>
      </c>
      <c r="L403" s="29" t="str">
        <v/>
      </c>
      <c r="M403" s="29" t="str">
        <v/>
      </c>
      <c r="N403" s="29" t="str">
        <v/>
      </c>
      <c r="O403" s="2" t="str">
        <f ca="1"/>
        <v/>
      </c>
      <c r="P403" s="2" t="str">
        <f ca="1"/>
        <v/>
      </c>
      <c r="Q403" s="2" t="s">
        <v>5</v>
      </c>
      <c r="R403" s="2" t="s">
        <v>5</v>
      </c>
      <c r="U403" s="2"/>
      <c r="V403" s="2" t="s">
        <v>5</v>
      </c>
      <c r="W403" s="2" t="s">
        <v>5</v>
      </c>
      <c r="X403" s="29" t="s">
        <v>5</v>
      </c>
      <c r="Y403" s="30" t="s">
        <v>5</v>
      </c>
      <c r="Z403" s="29" t="s">
        <v>5</v>
      </c>
      <c r="AA403" s="30" t="s">
        <v>5</v>
      </c>
      <c r="AB403" s="29" t="s">
        <v>5</v>
      </c>
      <c r="AC403" s="29" t="s">
        <v>5</v>
      </c>
      <c r="AD403" s="29" t="s">
        <v>5</v>
      </c>
      <c r="AE403" s="29" t="s">
        <v>5</v>
      </c>
      <c r="AF403" s="29" t="s">
        <v>5</v>
      </c>
      <c r="AG403" s="29" t="s">
        <v>5</v>
      </c>
      <c r="AH403" s="2" t="s">
        <v>5</v>
      </c>
      <c r="AI403" s="2" t="s">
        <v>5</v>
      </c>
      <c r="AJ403" s="2" t="s">
        <v>5</v>
      </c>
      <c r="AK403" s="2" t="s">
        <v>5</v>
      </c>
    </row>
    <row r="404" spans="3:37" ht="12.5">
      <c r="C404" s="2" t="str">
        <f ca="1"/>
        <v/>
      </c>
      <c r="D404" s="2" t="str">
        <v/>
      </c>
      <c r="E404" s="29" t="str">
        <v/>
      </c>
      <c r="F404" s="30" t="str">
        <v/>
      </c>
      <c r="G404" s="29" t="str">
        <v/>
      </c>
      <c r="H404" s="30" t="str">
        <v/>
      </c>
      <c r="I404" s="29" t="str">
        <v/>
      </c>
      <c r="J404" s="29" t="str">
        <v/>
      </c>
      <c r="K404" s="29" t="str">
        <v/>
      </c>
      <c r="L404" s="29" t="str">
        <v/>
      </c>
      <c r="M404" s="29" t="str">
        <v/>
      </c>
      <c r="N404" s="29" t="str">
        <v/>
      </c>
      <c r="O404" s="2" t="str">
        <f ca="1"/>
        <v/>
      </c>
      <c r="P404" s="2" t="str">
        <f ca="1"/>
        <v/>
      </c>
      <c r="Q404" s="2" t="s">
        <v>5</v>
      </c>
      <c r="R404" s="2" t="s">
        <v>5</v>
      </c>
      <c r="U404" s="2"/>
      <c r="V404" s="2" t="s">
        <v>5</v>
      </c>
      <c r="W404" s="2" t="s">
        <v>5</v>
      </c>
      <c r="X404" s="29" t="s">
        <v>5</v>
      </c>
      <c r="Y404" s="30" t="s">
        <v>5</v>
      </c>
      <c r="Z404" s="29" t="s">
        <v>5</v>
      </c>
      <c r="AA404" s="30" t="s">
        <v>5</v>
      </c>
      <c r="AB404" s="29" t="s">
        <v>5</v>
      </c>
      <c r="AC404" s="29" t="s">
        <v>5</v>
      </c>
      <c r="AD404" s="29" t="s">
        <v>5</v>
      </c>
      <c r="AE404" s="29" t="s">
        <v>5</v>
      </c>
      <c r="AF404" s="29" t="s">
        <v>5</v>
      </c>
      <c r="AG404" s="29" t="s">
        <v>5</v>
      </c>
      <c r="AH404" s="2" t="s">
        <v>5</v>
      </c>
      <c r="AI404" s="2" t="s">
        <v>5</v>
      </c>
      <c r="AJ404" s="2" t="s">
        <v>5</v>
      </c>
      <c r="AK404" s="2" t="s">
        <v>5</v>
      </c>
    </row>
    <row r="405" spans="3:37" ht="12.5">
      <c r="C405" s="2" t="str">
        <f ca="1"/>
        <v/>
      </c>
      <c r="D405" s="2" t="str">
        <v/>
      </c>
      <c r="E405" s="29" t="str">
        <v/>
      </c>
      <c r="F405" s="30" t="str">
        <v/>
      </c>
      <c r="G405" s="29" t="str">
        <v/>
      </c>
      <c r="H405" s="30" t="str">
        <v/>
      </c>
      <c r="I405" s="29" t="str">
        <v/>
      </c>
      <c r="J405" s="29" t="str">
        <v/>
      </c>
      <c r="K405" s="29" t="str">
        <v/>
      </c>
      <c r="L405" s="29" t="str">
        <v/>
      </c>
      <c r="M405" s="29" t="str">
        <v/>
      </c>
      <c r="N405" s="29" t="str">
        <v/>
      </c>
      <c r="O405" s="2" t="str">
        <f ca="1"/>
        <v/>
      </c>
      <c r="P405" s="2" t="str">
        <f ca="1"/>
        <v/>
      </c>
      <c r="Q405" s="2" t="s">
        <v>5</v>
      </c>
      <c r="R405" s="2" t="s">
        <v>5</v>
      </c>
      <c r="U405" s="2"/>
      <c r="V405" s="2" t="s">
        <v>5</v>
      </c>
      <c r="W405" s="2" t="s">
        <v>5</v>
      </c>
      <c r="X405" s="29" t="s">
        <v>5</v>
      </c>
      <c r="Y405" s="30" t="s">
        <v>5</v>
      </c>
      <c r="Z405" s="29" t="s">
        <v>5</v>
      </c>
      <c r="AA405" s="30" t="s">
        <v>5</v>
      </c>
      <c r="AB405" s="29" t="s">
        <v>5</v>
      </c>
      <c r="AC405" s="29" t="s">
        <v>5</v>
      </c>
      <c r="AD405" s="29" t="s">
        <v>5</v>
      </c>
      <c r="AE405" s="29" t="s">
        <v>5</v>
      </c>
      <c r="AF405" s="29" t="s">
        <v>5</v>
      </c>
      <c r="AG405" s="29" t="s">
        <v>5</v>
      </c>
      <c r="AH405" s="2" t="s">
        <v>5</v>
      </c>
      <c r="AI405" s="2" t="s">
        <v>5</v>
      </c>
      <c r="AJ405" s="2" t="s">
        <v>5</v>
      </c>
      <c r="AK405" s="2" t="s">
        <v>5</v>
      </c>
    </row>
    <row r="406" spans="3:37" ht="12.5">
      <c r="C406" s="2" t="str">
        <f ca="1"/>
        <v/>
      </c>
      <c r="D406" s="2" t="str">
        <v/>
      </c>
      <c r="E406" s="29" t="str">
        <v/>
      </c>
      <c r="F406" s="30" t="str">
        <v/>
      </c>
      <c r="G406" s="29" t="str">
        <v/>
      </c>
      <c r="H406" s="30" t="str">
        <v/>
      </c>
      <c r="I406" s="29" t="str">
        <v/>
      </c>
      <c r="J406" s="29" t="str">
        <v/>
      </c>
      <c r="K406" s="29" t="str">
        <v/>
      </c>
      <c r="L406" s="29" t="str">
        <v/>
      </c>
      <c r="M406" s="29" t="str">
        <v/>
      </c>
      <c r="N406" s="29" t="str">
        <v/>
      </c>
      <c r="O406" s="2" t="str">
        <f ca="1"/>
        <v/>
      </c>
      <c r="P406" s="2" t="str">
        <f ca="1"/>
        <v/>
      </c>
      <c r="Q406" s="2" t="s">
        <v>5</v>
      </c>
      <c r="R406" s="2" t="s">
        <v>5</v>
      </c>
      <c r="U406" s="2"/>
      <c r="V406" s="2" t="s">
        <v>5</v>
      </c>
      <c r="W406" s="2" t="s">
        <v>5</v>
      </c>
      <c r="X406" s="29" t="s">
        <v>5</v>
      </c>
      <c r="Y406" s="30" t="s">
        <v>5</v>
      </c>
      <c r="Z406" s="29" t="s">
        <v>5</v>
      </c>
      <c r="AA406" s="30" t="s">
        <v>5</v>
      </c>
      <c r="AB406" s="29" t="s">
        <v>5</v>
      </c>
      <c r="AC406" s="29" t="s">
        <v>5</v>
      </c>
      <c r="AD406" s="29" t="s">
        <v>5</v>
      </c>
      <c r="AE406" s="29" t="s">
        <v>5</v>
      </c>
      <c r="AF406" s="29" t="s">
        <v>5</v>
      </c>
      <c r="AG406" s="29" t="s">
        <v>5</v>
      </c>
      <c r="AH406" s="2" t="s">
        <v>5</v>
      </c>
      <c r="AI406" s="2" t="s">
        <v>5</v>
      </c>
      <c r="AJ406" s="2" t="s">
        <v>5</v>
      </c>
      <c r="AK406" s="2" t="s">
        <v>5</v>
      </c>
    </row>
    <row r="407" spans="3:37" ht="12.5">
      <c r="C407" s="2" t="str">
        <f ca="1"/>
        <v/>
      </c>
      <c r="D407" s="2" t="str">
        <v/>
      </c>
      <c r="E407" s="29" t="str">
        <v/>
      </c>
      <c r="F407" s="30" t="str">
        <v/>
      </c>
      <c r="G407" s="29" t="str">
        <v/>
      </c>
      <c r="H407" s="30" t="str">
        <v/>
      </c>
      <c r="I407" s="29" t="str">
        <v/>
      </c>
      <c r="J407" s="29" t="str">
        <v/>
      </c>
      <c r="K407" s="29" t="str">
        <v/>
      </c>
      <c r="L407" s="29" t="str">
        <v/>
      </c>
      <c r="M407" s="29" t="str">
        <v/>
      </c>
      <c r="N407" s="29" t="str">
        <v/>
      </c>
      <c r="O407" s="2" t="str">
        <f ca="1"/>
        <v/>
      </c>
      <c r="P407" s="2" t="str">
        <f ca="1"/>
        <v/>
      </c>
      <c r="Q407" s="2" t="s">
        <v>5</v>
      </c>
      <c r="R407" s="2" t="s">
        <v>5</v>
      </c>
      <c r="U407" s="2"/>
      <c r="V407" s="2" t="s">
        <v>5</v>
      </c>
      <c r="W407" s="2" t="s">
        <v>5</v>
      </c>
      <c r="X407" s="29" t="s">
        <v>5</v>
      </c>
      <c r="Y407" s="30" t="s">
        <v>5</v>
      </c>
      <c r="Z407" s="29" t="s">
        <v>5</v>
      </c>
      <c r="AA407" s="30" t="s">
        <v>5</v>
      </c>
      <c r="AB407" s="29" t="s">
        <v>5</v>
      </c>
      <c r="AC407" s="29" t="s">
        <v>5</v>
      </c>
      <c r="AD407" s="29" t="s">
        <v>5</v>
      </c>
      <c r="AE407" s="29" t="s">
        <v>5</v>
      </c>
      <c r="AF407" s="29" t="s">
        <v>5</v>
      </c>
      <c r="AG407" s="29" t="s">
        <v>5</v>
      </c>
      <c r="AH407" s="2" t="s">
        <v>5</v>
      </c>
      <c r="AI407" s="2" t="s">
        <v>5</v>
      </c>
      <c r="AJ407" s="2" t="s">
        <v>5</v>
      </c>
      <c r="AK407" s="2" t="s">
        <v>5</v>
      </c>
    </row>
    <row r="408" spans="3:37" ht="12.5">
      <c r="C408" s="2" t="str">
        <f ca="1"/>
        <v/>
      </c>
      <c r="D408" s="2" t="str">
        <v/>
      </c>
      <c r="E408" s="29" t="str">
        <v/>
      </c>
      <c r="F408" s="30" t="str">
        <v/>
      </c>
      <c r="G408" s="29" t="str">
        <v/>
      </c>
      <c r="H408" s="30" t="str">
        <v/>
      </c>
      <c r="I408" s="29" t="str">
        <v/>
      </c>
      <c r="J408" s="29" t="str">
        <v/>
      </c>
      <c r="K408" s="29" t="str">
        <v/>
      </c>
      <c r="L408" s="29" t="str">
        <v/>
      </c>
      <c r="M408" s="29" t="str">
        <v/>
      </c>
      <c r="N408" s="29" t="str">
        <v/>
      </c>
      <c r="O408" s="2" t="str">
        <f ca="1"/>
        <v/>
      </c>
      <c r="P408" s="2" t="str">
        <f ca="1"/>
        <v/>
      </c>
      <c r="Q408" s="2" t="s">
        <v>5</v>
      </c>
      <c r="R408" s="2" t="s">
        <v>5</v>
      </c>
      <c r="U408" s="2"/>
      <c r="V408" s="2" t="s">
        <v>5</v>
      </c>
      <c r="W408" s="2" t="s">
        <v>5</v>
      </c>
      <c r="X408" s="29" t="s">
        <v>5</v>
      </c>
      <c r="Y408" s="30" t="s">
        <v>5</v>
      </c>
      <c r="Z408" s="29" t="s">
        <v>5</v>
      </c>
      <c r="AA408" s="30" t="s">
        <v>5</v>
      </c>
      <c r="AB408" s="29" t="s">
        <v>5</v>
      </c>
      <c r="AC408" s="29" t="s">
        <v>5</v>
      </c>
      <c r="AD408" s="29" t="s">
        <v>5</v>
      </c>
      <c r="AE408" s="29" t="s">
        <v>5</v>
      </c>
      <c r="AF408" s="29" t="s">
        <v>5</v>
      </c>
      <c r="AG408" s="29" t="s">
        <v>5</v>
      </c>
      <c r="AH408" s="2" t="s">
        <v>5</v>
      </c>
      <c r="AI408" s="2" t="s">
        <v>5</v>
      </c>
      <c r="AJ408" s="2" t="s">
        <v>5</v>
      </c>
      <c r="AK408" s="2" t="s">
        <v>5</v>
      </c>
    </row>
    <row r="409" spans="3:37" ht="12.5">
      <c r="C409" s="2" t="str">
        <f ca="1"/>
        <v/>
      </c>
      <c r="D409" s="2" t="str">
        <v/>
      </c>
      <c r="E409" s="29" t="str">
        <v/>
      </c>
      <c r="F409" s="30" t="str">
        <v/>
      </c>
      <c r="G409" s="29" t="str">
        <v/>
      </c>
      <c r="H409" s="30" t="str">
        <v/>
      </c>
      <c r="I409" s="29" t="str">
        <v/>
      </c>
      <c r="J409" s="29" t="str">
        <v/>
      </c>
      <c r="K409" s="29" t="str">
        <v/>
      </c>
      <c r="L409" s="29" t="str">
        <v/>
      </c>
      <c r="M409" s="29" t="str">
        <v/>
      </c>
      <c r="N409" s="29" t="str">
        <v/>
      </c>
      <c r="O409" s="2" t="str">
        <f ca="1"/>
        <v/>
      </c>
      <c r="P409" s="2" t="str">
        <f ca="1"/>
        <v/>
      </c>
      <c r="Q409" s="2" t="s">
        <v>5</v>
      </c>
      <c r="R409" s="2" t="s">
        <v>5</v>
      </c>
      <c r="U409" s="2"/>
      <c r="V409" s="2" t="s">
        <v>5</v>
      </c>
      <c r="W409" s="2" t="s">
        <v>5</v>
      </c>
      <c r="X409" s="29" t="s">
        <v>5</v>
      </c>
      <c r="Y409" s="30" t="s">
        <v>5</v>
      </c>
      <c r="Z409" s="29" t="s">
        <v>5</v>
      </c>
      <c r="AA409" s="30" t="s">
        <v>5</v>
      </c>
      <c r="AB409" s="29" t="s">
        <v>5</v>
      </c>
      <c r="AC409" s="29" t="s">
        <v>5</v>
      </c>
      <c r="AD409" s="29" t="s">
        <v>5</v>
      </c>
      <c r="AE409" s="29" t="s">
        <v>5</v>
      </c>
      <c r="AF409" s="29" t="s">
        <v>5</v>
      </c>
      <c r="AG409" s="29" t="s">
        <v>5</v>
      </c>
      <c r="AH409" s="2" t="s">
        <v>5</v>
      </c>
      <c r="AI409" s="2" t="s">
        <v>5</v>
      </c>
      <c r="AJ409" s="2" t="s">
        <v>5</v>
      </c>
      <c r="AK409" s="2" t="s">
        <v>5</v>
      </c>
    </row>
    <row r="410" spans="3:37" ht="12.5">
      <c r="C410" s="2" t="str">
        <f ca="1"/>
        <v/>
      </c>
      <c r="D410" s="2" t="str">
        <v/>
      </c>
      <c r="E410" s="29" t="str">
        <v/>
      </c>
      <c r="F410" s="30" t="str">
        <v/>
      </c>
      <c r="G410" s="29" t="str">
        <v/>
      </c>
      <c r="H410" s="30" t="str">
        <v/>
      </c>
      <c r="I410" s="29" t="str">
        <v/>
      </c>
      <c r="J410" s="29" t="str">
        <v/>
      </c>
      <c r="K410" s="29" t="str">
        <v/>
      </c>
      <c r="L410" s="29" t="str">
        <v/>
      </c>
      <c r="M410" s="29" t="str">
        <v/>
      </c>
      <c r="N410" s="29" t="str">
        <v/>
      </c>
      <c r="O410" s="2" t="str">
        <f ca="1"/>
        <v/>
      </c>
      <c r="P410" s="2" t="str">
        <f ca="1"/>
        <v/>
      </c>
      <c r="Q410" s="2" t="s">
        <v>5</v>
      </c>
      <c r="R410" s="2" t="s">
        <v>5</v>
      </c>
      <c r="U410" s="2"/>
      <c r="V410" s="2" t="s">
        <v>5</v>
      </c>
      <c r="W410" s="2" t="s">
        <v>5</v>
      </c>
      <c r="X410" s="29" t="s">
        <v>5</v>
      </c>
      <c r="Y410" s="30" t="s">
        <v>5</v>
      </c>
      <c r="Z410" s="29" t="s">
        <v>5</v>
      </c>
      <c r="AA410" s="30" t="s">
        <v>5</v>
      </c>
      <c r="AB410" s="29" t="s">
        <v>5</v>
      </c>
      <c r="AC410" s="29" t="s">
        <v>5</v>
      </c>
      <c r="AD410" s="29" t="s">
        <v>5</v>
      </c>
      <c r="AE410" s="29" t="s">
        <v>5</v>
      </c>
      <c r="AF410" s="29" t="s">
        <v>5</v>
      </c>
      <c r="AG410" s="29" t="s">
        <v>5</v>
      </c>
      <c r="AH410" s="2" t="s">
        <v>5</v>
      </c>
      <c r="AI410" s="2" t="s">
        <v>5</v>
      </c>
      <c r="AJ410" s="2" t="s">
        <v>5</v>
      </c>
      <c r="AK410" s="2" t="s">
        <v>5</v>
      </c>
    </row>
    <row r="411" spans="3:37" ht="12.5">
      <c r="C411" s="2" t="str">
        <f ca="1"/>
        <v/>
      </c>
      <c r="D411" s="2" t="str">
        <v/>
      </c>
      <c r="E411" s="29" t="str">
        <v/>
      </c>
      <c r="F411" s="30" t="str">
        <v/>
      </c>
      <c r="G411" s="29" t="str">
        <v/>
      </c>
      <c r="H411" s="30" t="str">
        <v/>
      </c>
      <c r="I411" s="29" t="str">
        <v/>
      </c>
      <c r="J411" s="29" t="str">
        <v/>
      </c>
      <c r="K411" s="29" t="str">
        <v/>
      </c>
      <c r="L411" s="29" t="str">
        <v/>
      </c>
      <c r="M411" s="29" t="str">
        <v/>
      </c>
      <c r="N411" s="29" t="str">
        <v/>
      </c>
      <c r="O411" s="2" t="str">
        <f ca="1"/>
        <v/>
      </c>
      <c r="P411" s="2" t="str">
        <f ca="1"/>
        <v/>
      </c>
      <c r="Q411" s="2" t="s">
        <v>5</v>
      </c>
      <c r="R411" s="2" t="s">
        <v>5</v>
      </c>
      <c r="U411" s="2"/>
      <c r="V411" s="2" t="s">
        <v>5</v>
      </c>
      <c r="W411" s="2" t="s">
        <v>5</v>
      </c>
      <c r="X411" s="29" t="s">
        <v>5</v>
      </c>
      <c r="Y411" s="30" t="s">
        <v>5</v>
      </c>
      <c r="Z411" s="29" t="s">
        <v>5</v>
      </c>
      <c r="AA411" s="30" t="s">
        <v>5</v>
      </c>
      <c r="AB411" s="29" t="s">
        <v>5</v>
      </c>
      <c r="AC411" s="29" t="s">
        <v>5</v>
      </c>
      <c r="AD411" s="29" t="s">
        <v>5</v>
      </c>
      <c r="AE411" s="29" t="s">
        <v>5</v>
      </c>
      <c r="AF411" s="29" t="s">
        <v>5</v>
      </c>
      <c r="AG411" s="29" t="s">
        <v>5</v>
      </c>
      <c r="AH411" s="2" t="s">
        <v>5</v>
      </c>
      <c r="AI411" s="2" t="s">
        <v>5</v>
      </c>
      <c r="AJ411" s="2" t="s">
        <v>5</v>
      </c>
      <c r="AK411" s="2" t="s">
        <v>5</v>
      </c>
    </row>
    <row r="412" spans="3:37" ht="12.5">
      <c r="C412" s="2" t="str">
        <f ca="1"/>
        <v/>
      </c>
      <c r="D412" s="2" t="str">
        <v/>
      </c>
      <c r="E412" s="29" t="str">
        <v/>
      </c>
      <c r="F412" s="30" t="str">
        <v/>
      </c>
      <c r="G412" s="29" t="str">
        <v/>
      </c>
      <c r="H412" s="30" t="str">
        <v/>
      </c>
      <c r="I412" s="29" t="str">
        <v/>
      </c>
      <c r="J412" s="29" t="str">
        <v/>
      </c>
      <c r="K412" s="29" t="str">
        <v/>
      </c>
      <c r="L412" s="29" t="str">
        <v/>
      </c>
      <c r="M412" s="29" t="str">
        <v/>
      </c>
      <c r="N412" s="29" t="str">
        <v/>
      </c>
      <c r="O412" s="2" t="str">
        <f ca="1"/>
        <v/>
      </c>
      <c r="P412" s="2" t="str">
        <f ca="1"/>
        <v/>
      </c>
      <c r="Q412" s="2" t="s">
        <v>5</v>
      </c>
      <c r="R412" s="2" t="s">
        <v>5</v>
      </c>
      <c r="U412" s="2"/>
      <c r="V412" s="2" t="s">
        <v>5</v>
      </c>
      <c r="W412" s="2" t="s">
        <v>5</v>
      </c>
      <c r="X412" s="29" t="s">
        <v>5</v>
      </c>
      <c r="Y412" s="30" t="s">
        <v>5</v>
      </c>
      <c r="Z412" s="29" t="s">
        <v>5</v>
      </c>
      <c r="AA412" s="30" t="s">
        <v>5</v>
      </c>
      <c r="AB412" s="29" t="s">
        <v>5</v>
      </c>
      <c r="AC412" s="29" t="s">
        <v>5</v>
      </c>
      <c r="AD412" s="29" t="s">
        <v>5</v>
      </c>
      <c r="AE412" s="29" t="s">
        <v>5</v>
      </c>
      <c r="AF412" s="29" t="s">
        <v>5</v>
      </c>
      <c r="AG412" s="29" t="s">
        <v>5</v>
      </c>
      <c r="AH412" s="2" t="s">
        <v>5</v>
      </c>
      <c r="AI412" s="2" t="s">
        <v>5</v>
      </c>
      <c r="AJ412" s="2" t="s">
        <v>5</v>
      </c>
      <c r="AK412" s="2" t="s">
        <v>5</v>
      </c>
    </row>
    <row r="413" spans="3:37" ht="12.5">
      <c r="C413" s="2" t="str">
        <f ca="1"/>
        <v/>
      </c>
      <c r="D413" s="2" t="str">
        <v/>
      </c>
      <c r="E413" s="29" t="str">
        <v/>
      </c>
      <c r="F413" s="30" t="str">
        <v/>
      </c>
      <c r="G413" s="29" t="str">
        <v/>
      </c>
      <c r="H413" s="30" t="str">
        <v/>
      </c>
      <c r="I413" s="29" t="str">
        <v/>
      </c>
      <c r="J413" s="29" t="str">
        <v/>
      </c>
      <c r="K413" s="29" t="str">
        <v/>
      </c>
      <c r="L413" s="29" t="str">
        <v/>
      </c>
      <c r="M413" s="29" t="str">
        <v/>
      </c>
      <c r="N413" s="29" t="str">
        <v/>
      </c>
      <c r="O413" s="2" t="str">
        <f ca="1"/>
        <v/>
      </c>
      <c r="P413" s="2" t="str">
        <f ca="1"/>
        <v/>
      </c>
      <c r="Q413" s="2" t="s">
        <v>5</v>
      </c>
      <c r="R413" s="2" t="s">
        <v>5</v>
      </c>
      <c r="U413" s="2"/>
      <c r="V413" s="2" t="s">
        <v>5</v>
      </c>
      <c r="W413" s="2" t="s">
        <v>5</v>
      </c>
      <c r="X413" s="29" t="s">
        <v>5</v>
      </c>
      <c r="Y413" s="30" t="s">
        <v>5</v>
      </c>
      <c r="Z413" s="29" t="s">
        <v>5</v>
      </c>
      <c r="AA413" s="30" t="s">
        <v>5</v>
      </c>
      <c r="AB413" s="29" t="s">
        <v>5</v>
      </c>
      <c r="AC413" s="29" t="s">
        <v>5</v>
      </c>
      <c r="AD413" s="29" t="s">
        <v>5</v>
      </c>
      <c r="AE413" s="29" t="s">
        <v>5</v>
      </c>
      <c r="AF413" s="29" t="s">
        <v>5</v>
      </c>
      <c r="AG413" s="29" t="s">
        <v>5</v>
      </c>
      <c r="AH413" s="2" t="s">
        <v>5</v>
      </c>
      <c r="AI413" s="2" t="s">
        <v>5</v>
      </c>
      <c r="AJ413" s="2" t="s">
        <v>5</v>
      </c>
      <c r="AK413" s="2" t="s">
        <v>5</v>
      </c>
    </row>
    <row r="414" spans="3:37" ht="12.5">
      <c r="C414" s="2" t="str">
        <f ca="1"/>
        <v/>
      </c>
      <c r="D414" s="2" t="str">
        <v/>
      </c>
      <c r="E414" s="29" t="str">
        <v/>
      </c>
      <c r="F414" s="30" t="str">
        <v/>
      </c>
      <c r="G414" s="29" t="str">
        <v/>
      </c>
      <c r="H414" s="30" t="str">
        <v/>
      </c>
      <c r="I414" s="29" t="str">
        <v/>
      </c>
      <c r="J414" s="29" t="str">
        <v/>
      </c>
      <c r="K414" s="29" t="str">
        <v/>
      </c>
      <c r="L414" s="29" t="str">
        <v/>
      </c>
      <c r="M414" s="29" t="str">
        <v/>
      </c>
      <c r="N414" s="29" t="str">
        <v/>
      </c>
      <c r="O414" s="2" t="str">
        <f ca="1"/>
        <v/>
      </c>
      <c r="P414" s="2" t="str">
        <f ca="1"/>
        <v/>
      </c>
      <c r="Q414" s="2" t="s">
        <v>5</v>
      </c>
      <c r="R414" s="2" t="s">
        <v>5</v>
      </c>
      <c r="U414" s="2"/>
      <c r="V414" s="2" t="s">
        <v>5</v>
      </c>
      <c r="W414" s="2" t="s">
        <v>5</v>
      </c>
      <c r="X414" s="29" t="s">
        <v>5</v>
      </c>
      <c r="Y414" s="30" t="s">
        <v>5</v>
      </c>
      <c r="Z414" s="29" t="s">
        <v>5</v>
      </c>
      <c r="AA414" s="30" t="s">
        <v>5</v>
      </c>
      <c r="AB414" s="29" t="s">
        <v>5</v>
      </c>
      <c r="AC414" s="29" t="s">
        <v>5</v>
      </c>
      <c r="AD414" s="29" t="s">
        <v>5</v>
      </c>
      <c r="AE414" s="29" t="s">
        <v>5</v>
      </c>
      <c r="AF414" s="29" t="s">
        <v>5</v>
      </c>
      <c r="AG414" s="29" t="s">
        <v>5</v>
      </c>
      <c r="AH414" s="2" t="s">
        <v>5</v>
      </c>
      <c r="AI414" s="2" t="s">
        <v>5</v>
      </c>
      <c r="AJ414" s="2" t="s">
        <v>5</v>
      </c>
      <c r="AK414" s="2" t="s">
        <v>5</v>
      </c>
    </row>
    <row r="415" spans="3:37" ht="12.5">
      <c r="C415" s="2" t="str">
        <f ca="1"/>
        <v/>
      </c>
      <c r="D415" s="2" t="str">
        <v/>
      </c>
      <c r="E415" s="29" t="str">
        <v/>
      </c>
      <c r="F415" s="30" t="str">
        <v/>
      </c>
      <c r="G415" s="29" t="str">
        <v/>
      </c>
      <c r="H415" s="30" t="str">
        <v/>
      </c>
      <c r="I415" s="29" t="str">
        <v/>
      </c>
      <c r="J415" s="29" t="str">
        <v/>
      </c>
      <c r="K415" s="29" t="str">
        <v/>
      </c>
      <c r="L415" s="29" t="str">
        <v/>
      </c>
      <c r="M415" s="29" t="str">
        <v/>
      </c>
      <c r="N415" s="29" t="str">
        <v/>
      </c>
      <c r="O415" s="2" t="str">
        <f ca="1"/>
        <v/>
      </c>
      <c r="P415" s="2" t="str">
        <f ca="1"/>
        <v/>
      </c>
      <c r="Q415" s="2" t="s">
        <v>5</v>
      </c>
      <c r="R415" s="2" t="s">
        <v>5</v>
      </c>
      <c r="U415" s="2"/>
      <c r="V415" s="2" t="s">
        <v>5</v>
      </c>
      <c r="W415" s="2" t="s">
        <v>5</v>
      </c>
      <c r="X415" s="29" t="s">
        <v>5</v>
      </c>
      <c r="Y415" s="30" t="s">
        <v>5</v>
      </c>
      <c r="Z415" s="29" t="s">
        <v>5</v>
      </c>
      <c r="AA415" s="30" t="s">
        <v>5</v>
      </c>
      <c r="AB415" s="29" t="s">
        <v>5</v>
      </c>
      <c r="AC415" s="29" t="s">
        <v>5</v>
      </c>
      <c r="AD415" s="29" t="s">
        <v>5</v>
      </c>
      <c r="AE415" s="29" t="s">
        <v>5</v>
      </c>
      <c r="AF415" s="29" t="s">
        <v>5</v>
      </c>
      <c r="AG415" s="29" t="s">
        <v>5</v>
      </c>
      <c r="AH415" s="2" t="s">
        <v>5</v>
      </c>
      <c r="AI415" s="2" t="s">
        <v>5</v>
      </c>
      <c r="AJ415" s="2" t="s">
        <v>5</v>
      </c>
      <c r="AK415" s="2" t="s">
        <v>5</v>
      </c>
    </row>
    <row r="416" spans="3:37" ht="12.5">
      <c r="C416" s="2" t="str">
        <f ca="1"/>
        <v/>
      </c>
      <c r="D416" s="2" t="str">
        <v/>
      </c>
      <c r="E416" s="29" t="str">
        <v/>
      </c>
      <c r="F416" s="30" t="str">
        <v/>
      </c>
      <c r="G416" s="29" t="str">
        <v/>
      </c>
      <c r="H416" s="30" t="str">
        <v/>
      </c>
      <c r="I416" s="29" t="str">
        <v/>
      </c>
      <c r="J416" s="29" t="str">
        <v/>
      </c>
      <c r="K416" s="29" t="str">
        <v/>
      </c>
      <c r="L416" s="29" t="str">
        <v/>
      </c>
      <c r="M416" s="29" t="str">
        <v/>
      </c>
      <c r="N416" s="29" t="str">
        <v/>
      </c>
      <c r="O416" s="2" t="str">
        <f ca="1"/>
        <v/>
      </c>
      <c r="P416" s="2" t="str">
        <f ca="1"/>
        <v/>
      </c>
      <c r="Q416" s="2" t="s">
        <v>5</v>
      </c>
      <c r="R416" s="2" t="s">
        <v>5</v>
      </c>
      <c r="U416" s="2"/>
      <c r="V416" s="2" t="s">
        <v>5</v>
      </c>
      <c r="W416" s="2" t="s">
        <v>5</v>
      </c>
      <c r="X416" s="29" t="s">
        <v>5</v>
      </c>
      <c r="Y416" s="30" t="s">
        <v>5</v>
      </c>
      <c r="Z416" s="29" t="s">
        <v>5</v>
      </c>
      <c r="AA416" s="30" t="s">
        <v>5</v>
      </c>
      <c r="AB416" s="29" t="s">
        <v>5</v>
      </c>
      <c r="AC416" s="29" t="s">
        <v>5</v>
      </c>
      <c r="AD416" s="29" t="s">
        <v>5</v>
      </c>
      <c r="AE416" s="29" t="s">
        <v>5</v>
      </c>
      <c r="AF416" s="29" t="s">
        <v>5</v>
      </c>
      <c r="AG416" s="29" t="s">
        <v>5</v>
      </c>
      <c r="AH416" s="2" t="s">
        <v>5</v>
      </c>
      <c r="AI416" s="2" t="s">
        <v>5</v>
      </c>
      <c r="AJ416" s="2" t="s">
        <v>5</v>
      </c>
      <c r="AK416" s="2" t="s">
        <v>5</v>
      </c>
    </row>
    <row r="417" spans="3:37" ht="12.5">
      <c r="C417" s="2" t="str">
        <f ca="1"/>
        <v/>
      </c>
      <c r="D417" s="2" t="str">
        <v/>
      </c>
      <c r="E417" s="29" t="str">
        <v/>
      </c>
      <c r="F417" s="30" t="str">
        <v/>
      </c>
      <c r="G417" s="29" t="str">
        <v/>
      </c>
      <c r="H417" s="30" t="str">
        <v/>
      </c>
      <c r="I417" s="29" t="str">
        <v/>
      </c>
      <c r="J417" s="29" t="str">
        <v/>
      </c>
      <c r="K417" s="29" t="str">
        <v/>
      </c>
      <c r="L417" s="29" t="str">
        <v/>
      </c>
      <c r="M417" s="29" t="str">
        <v/>
      </c>
      <c r="N417" s="29" t="str">
        <v/>
      </c>
      <c r="O417" s="2" t="str">
        <f ca="1"/>
        <v/>
      </c>
      <c r="P417" s="2" t="str">
        <f ca="1"/>
        <v/>
      </c>
      <c r="Q417" s="2" t="s">
        <v>5</v>
      </c>
      <c r="R417" s="2" t="s">
        <v>5</v>
      </c>
      <c r="U417" s="2"/>
      <c r="V417" s="2" t="s">
        <v>5</v>
      </c>
      <c r="W417" s="2" t="s">
        <v>5</v>
      </c>
      <c r="X417" s="29" t="s">
        <v>5</v>
      </c>
      <c r="Y417" s="30" t="s">
        <v>5</v>
      </c>
      <c r="Z417" s="29" t="s">
        <v>5</v>
      </c>
      <c r="AA417" s="30" t="s">
        <v>5</v>
      </c>
      <c r="AB417" s="29" t="s">
        <v>5</v>
      </c>
      <c r="AC417" s="29" t="s">
        <v>5</v>
      </c>
      <c r="AD417" s="29" t="s">
        <v>5</v>
      </c>
      <c r="AE417" s="29" t="s">
        <v>5</v>
      </c>
      <c r="AF417" s="29" t="s">
        <v>5</v>
      </c>
      <c r="AG417" s="29" t="s">
        <v>5</v>
      </c>
      <c r="AH417" s="2" t="s">
        <v>5</v>
      </c>
      <c r="AI417" s="2" t="s">
        <v>5</v>
      </c>
      <c r="AJ417" s="2" t="s">
        <v>5</v>
      </c>
      <c r="AK417" s="2" t="s">
        <v>5</v>
      </c>
    </row>
    <row r="418" spans="3:37" ht="12.5">
      <c r="C418" s="2" t="str">
        <f ca="1"/>
        <v/>
      </c>
      <c r="D418" s="2" t="str">
        <v/>
      </c>
      <c r="E418" s="29" t="str">
        <v/>
      </c>
      <c r="F418" s="30" t="str">
        <v/>
      </c>
      <c r="G418" s="29" t="str">
        <v/>
      </c>
      <c r="H418" s="30" t="str">
        <v/>
      </c>
      <c r="I418" s="29" t="str">
        <v/>
      </c>
      <c r="J418" s="29" t="str">
        <v/>
      </c>
      <c r="K418" s="29" t="str">
        <v/>
      </c>
      <c r="L418" s="29" t="str">
        <v/>
      </c>
      <c r="M418" s="29" t="str">
        <v/>
      </c>
      <c r="N418" s="29" t="str">
        <v/>
      </c>
      <c r="O418" s="2" t="str">
        <f ca="1"/>
        <v/>
      </c>
      <c r="P418" s="2" t="str">
        <f ca="1"/>
        <v/>
      </c>
      <c r="Q418" s="2" t="s">
        <v>5</v>
      </c>
      <c r="R418" s="2" t="s">
        <v>5</v>
      </c>
      <c r="U418" s="2"/>
      <c r="V418" s="2" t="s">
        <v>5</v>
      </c>
      <c r="W418" s="2" t="s">
        <v>5</v>
      </c>
      <c r="X418" s="29" t="s">
        <v>5</v>
      </c>
      <c r="Y418" s="30" t="s">
        <v>5</v>
      </c>
      <c r="Z418" s="29" t="s">
        <v>5</v>
      </c>
      <c r="AA418" s="30" t="s">
        <v>5</v>
      </c>
      <c r="AB418" s="29" t="s">
        <v>5</v>
      </c>
      <c r="AC418" s="29" t="s">
        <v>5</v>
      </c>
      <c r="AD418" s="29" t="s">
        <v>5</v>
      </c>
      <c r="AE418" s="29" t="s">
        <v>5</v>
      </c>
      <c r="AF418" s="29" t="s">
        <v>5</v>
      </c>
      <c r="AG418" s="29" t="s">
        <v>5</v>
      </c>
      <c r="AH418" s="2" t="s">
        <v>5</v>
      </c>
      <c r="AI418" s="2" t="s">
        <v>5</v>
      </c>
      <c r="AJ418" s="2" t="s">
        <v>5</v>
      </c>
      <c r="AK418" s="2" t="s">
        <v>5</v>
      </c>
    </row>
    <row r="419" spans="3:37" ht="12.5">
      <c r="C419" s="2" t="str">
        <f ca="1"/>
        <v/>
      </c>
      <c r="D419" s="2" t="str">
        <v/>
      </c>
      <c r="E419" s="29" t="str">
        <v/>
      </c>
      <c r="F419" s="30" t="str">
        <v/>
      </c>
      <c r="G419" s="29" t="str">
        <v/>
      </c>
      <c r="H419" s="30" t="str">
        <v/>
      </c>
      <c r="I419" s="29" t="str">
        <v/>
      </c>
      <c r="J419" s="29" t="str">
        <v/>
      </c>
      <c r="K419" s="29" t="str">
        <v/>
      </c>
      <c r="L419" s="29" t="str">
        <v/>
      </c>
      <c r="M419" s="29" t="str">
        <v/>
      </c>
      <c r="N419" s="29" t="str">
        <v/>
      </c>
      <c r="O419" s="2" t="str">
        <f ca="1"/>
        <v/>
      </c>
      <c r="P419" s="2" t="str">
        <f ca="1"/>
        <v/>
      </c>
      <c r="Q419" s="2" t="s">
        <v>5</v>
      </c>
      <c r="R419" s="2" t="s">
        <v>5</v>
      </c>
      <c r="U419" s="2"/>
      <c r="V419" s="2" t="s">
        <v>5</v>
      </c>
      <c r="W419" s="2" t="s">
        <v>5</v>
      </c>
      <c r="X419" s="29" t="s">
        <v>5</v>
      </c>
      <c r="Y419" s="30" t="s">
        <v>5</v>
      </c>
      <c r="Z419" s="29" t="s">
        <v>5</v>
      </c>
      <c r="AA419" s="30" t="s">
        <v>5</v>
      </c>
      <c r="AB419" s="29" t="s">
        <v>5</v>
      </c>
      <c r="AC419" s="29" t="s">
        <v>5</v>
      </c>
      <c r="AD419" s="29" t="s">
        <v>5</v>
      </c>
      <c r="AE419" s="29" t="s">
        <v>5</v>
      </c>
      <c r="AF419" s="29" t="s">
        <v>5</v>
      </c>
      <c r="AG419" s="29" t="s">
        <v>5</v>
      </c>
      <c r="AH419" s="2" t="s">
        <v>5</v>
      </c>
      <c r="AI419" s="2" t="s">
        <v>5</v>
      </c>
      <c r="AJ419" s="2" t="s">
        <v>5</v>
      </c>
      <c r="AK419" s="2" t="s">
        <v>5</v>
      </c>
    </row>
    <row r="420" spans="3:37" ht="12.5">
      <c r="C420" s="2" t="str">
        <f ca="1"/>
        <v/>
      </c>
      <c r="D420" s="2" t="str">
        <v/>
      </c>
      <c r="E420" s="29" t="str">
        <v/>
      </c>
      <c r="F420" s="30" t="str">
        <v/>
      </c>
      <c r="G420" s="29" t="str">
        <v/>
      </c>
      <c r="H420" s="30" t="str">
        <v/>
      </c>
      <c r="I420" s="29" t="str">
        <v/>
      </c>
      <c r="J420" s="29" t="str">
        <v/>
      </c>
      <c r="K420" s="29" t="str">
        <v/>
      </c>
      <c r="L420" s="29" t="str">
        <v/>
      </c>
      <c r="M420" s="29" t="str">
        <v/>
      </c>
      <c r="N420" s="29" t="str">
        <v/>
      </c>
      <c r="O420" s="2" t="str">
        <f ca="1"/>
        <v/>
      </c>
      <c r="P420" s="2" t="str">
        <f ca="1"/>
        <v/>
      </c>
      <c r="Q420" s="2" t="s">
        <v>5</v>
      </c>
      <c r="R420" s="2" t="s">
        <v>5</v>
      </c>
      <c r="U420" s="2"/>
      <c r="V420" s="2" t="s">
        <v>5</v>
      </c>
      <c r="W420" s="2" t="s">
        <v>5</v>
      </c>
      <c r="X420" s="29" t="s">
        <v>5</v>
      </c>
      <c r="Y420" s="30" t="s">
        <v>5</v>
      </c>
      <c r="Z420" s="29" t="s">
        <v>5</v>
      </c>
      <c r="AA420" s="30" t="s">
        <v>5</v>
      </c>
      <c r="AB420" s="29" t="s">
        <v>5</v>
      </c>
      <c r="AC420" s="29" t="s">
        <v>5</v>
      </c>
      <c r="AD420" s="29" t="s">
        <v>5</v>
      </c>
      <c r="AE420" s="29" t="s">
        <v>5</v>
      </c>
      <c r="AF420" s="29" t="s">
        <v>5</v>
      </c>
      <c r="AG420" s="29" t="s">
        <v>5</v>
      </c>
      <c r="AH420" s="2" t="s">
        <v>5</v>
      </c>
      <c r="AI420" s="2" t="s">
        <v>5</v>
      </c>
      <c r="AJ420" s="2" t="s">
        <v>5</v>
      </c>
      <c r="AK420" s="2" t="s">
        <v>5</v>
      </c>
    </row>
    <row r="421" spans="3:37" ht="12.5">
      <c r="C421" s="2" t="str">
        <f ca="1"/>
        <v/>
      </c>
      <c r="D421" s="2" t="str">
        <v/>
      </c>
      <c r="E421" s="29" t="str">
        <v/>
      </c>
      <c r="F421" s="30" t="str">
        <v/>
      </c>
      <c r="G421" s="29" t="str">
        <v/>
      </c>
      <c r="H421" s="30" t="str">
        <v/>
      </c>
      <c r="I421" s="29" t="str">
        <v/>
      </c>
      <c r="J421" s="29" t="str">
        <v/>
      </c>
      <c r="K421" s="29" t="str">
        <v/>
      </c>
      <c r="L421" s="29" t="str">
        <v/>
      </c>
      <c r="M421" s="29" t="str">
        <v/>
      </c>
      <c r="N421" s="29" t="str">
        <v/>
      </c>
      <c r="O421" s="2" t="str">
        <f ca="1"/>
        <v/>
      </c>
      <c r="P421" s="2" t="str">
        <f ca="1"/>
        <v/>
      </c>
      <c r="Q421" s="2" t="s">
        <v>5</v>
      </c>
      <c r="R421" s="2" t="s">
        <v>5</v>
      </c>
      <c r="U421" s="2"/>
      <c r="V421" s="2" t="s">
        <v>5</v>
      </c>
      <c r="W421" s="2" t="s">
        <v>5</v>
      </c>
      <c r="X421" s="29" t="s">
        <v>5</v>
      </c>
      <c r="Y421" s="30" t="s">
        <v>5</v>
      </c>
      <c r="Z421" s="29" t="s">
        <v>5</v>
      </c>
      <c r="AA421" s="30" t="s">
        <v>5</v>
      </c>
      <c r="AB421" s="29" t="s">
        <v>5</v>
      </c>
      <c r="AC421" s="29" t="s">
        <v>5</v>
      </c>
      <c r="AD421" s="29" t="s">
        <v>5</v>
      </c>
      <c r="AE421" s="29" t="s">
        <v>5</v>
      </c>
      <c r="AF421" s="29" t="s">
        <v>5</v>
      </c>
      <c r="AG421" s="29" t="s">
        <v>5</v>
      </c>
      <c r="AH421" s="2" t="s">
        <v>5</v>
      </c>
      <c r="AI421" s="2" t="s">
        <v>5</v>
      </c>
      <c r="AJ421" s="2" t="s">
        <v>5</v>
      </c>
      <c r="AK421" s="2" t="s">
        <v>5</v>
      </c>
    </row>
    <row r="422" spans="3:37" ht="12.5">
      <c r="C422" s="2" t="str">
        <f ca="1"/>
        <v/>
      </c>
      <c r="D422" s="2" t="str">
        <v/>
      </c>
      <c r="E422" s="29" t="str">
        <v/>
      </c>
      <c r="F422" s="30" t="str">
        <v/>
      </c>
      <c r="G422" s="29" t="str">
        <v/>
      </c>
      <c r="H422" s="30" t="str">
        <v/>
      </c>
      <c r="I422" s="29" t="str">
        <v/>
      </c>
      <c r="J422" s="29" t="str">
        <v/>
      </c>
      <c r="K422" s="29" t="str">
        <v/>
      </c>
      <c r="L422" s="29" t="str">
        <v/>
      </c>
      <c r="M422" s="29" t="str">
        <v/>
      </c>
      <c r="N422" s="29" t="str">
        <v/>
      </c>
      <c r="O422" s="2" t="str">
        <f ca="1"/>
        <v/>
      </c>
      <c r="P422" s="2" t="str">
        <f ca="1"/>
        <v/>
      </c>
      <c r="Q422" s="2" t="s">
        <v>5</v>
      </c>
      <c r="R422" s="2" t="s">
        <v>5</v>
      </c>
      <c r="U422" s="2"/>
      <c r="V422" s="2" t="s">
        <v>5</v>
      </c>
      <c r="W422" s="2" t="s">
        <v>5</v>
      </c>
      <c r="X422" s="29" t="s">
        <v>5</v>
      </c>
      <c r="Y422" s="30" t="s">
        <v>5</v>
      </c>
      <c r="Z422" s="29" t="s">
        <v>5</v>
      </c>
      <c r="AA422" s="30" t="s">
        <v>5</v>
      </c>
      <c r="AB422" s="29" t="s">
        <v>5</v>
      </c>
      <c r="AC422" s="29" t="s">
        <v>5</v>
      </c>
      <c r="AD422" s="29" t="s">
        <v>5</v>
      </c>
      <c r="AE422" s="29" t="s">
        <v>5</v>
      </c>
      <c r="AF422" s="29" t="s">
        <v>5</v>
      </c>
      <c r="AG422" s="29" t="s">
        <v>5</v>
      </c>
      <c r="AH422" s="2" t="s">
        <v>5</v>
      </c>
      <c r="AI422" s="2" t="s">
        <v>5</v>
      </c>
      <c r="AJ422" s="2" t="s">
        <v>5</v>
      </c>
      <c r="AK422" s="2" t="s">
        <v>5</v>
      </c>
    </row>
    <row r="423" spans="3:37" ht="12.5">
      <c r="C423" s="2" t="str">
        <f ca="1"/>
        <v/>
      </c>
      <c r="D423" s="2" t="str">
        <v/>
      </c>
      <c r="E423" s="29" t="str">
        <v/>
      </c>
      <c r="F423" s="30" t="str">
        <v/>
      </c>
      <c r="G423" s="29" t="str">
        <v/>
      </c>
      <c r="H423" s="30" t="str">
        <v/>
      </c>
      <c r="I423" s="29" t="str">
        <v/>
      </c>
      <c r="J423" s="29" t="str">
        <v/>
      </c>
      <c r="K423" s="29" t="str">
        <v/>
      </c>
      <c r="L423" s="29" t="str">
        <v/>
      </c>
      <c r="M423" s="29" t="str">
        <v/>
      </c>
      <c r="N423" s="29" t="str">
        <v/>
      </c>
      <c r="O423" s="2" t="str">
        <f ca="1"/>
        <v/>
      </c>
      <c r="P423" s="2" t="str">
        <f ca="1"/>
        <v/>
      </c>
      <c r="Q423" s="2" t="s">
        <v>5</v>
      </c>
      <c r="R423" s="2" t="s">
        <v>5</v>
      </c>
      <c r="U423" s="2"/>
      <c r="V423" s="2" t="s">
        <v>5</v>
      </c>
      <c r="W423" s="2" t="s">
        <v>5</v>
      </c>
      <c r="X423" s="29" t="s">
        <v>5</v>
      </c>
      <c r="Y423" s="30" t="s">
        <v>5</v>
      </c>
      <c r="Z423" s="29" t="s">
        <v>5</v>
      </c>
      <c r="AA423" s="30" t="s">
        <v>5</v>
      </c>
      <c r="AB423" s="29" t="s">
        <v>5</v>
      </c>
      <c r="AC423" s="29" t="s">
        <v>5</v>
      </c>
      <c r="AD423" s="29" t="s">
        <v>5</v>
      </c>
      <c r="AE423" s="29" t="s">
        <v>5</v>
      </c>
      <c r="AF423" s="29" t="s">
        <v>5</v>
      </c>
      <c r="AG423" s="29" t="s">
        <v>5</v>
      </c>
      <c r="AH423" s="2" t="s">
        <v>5</v>
      </c>
      <c r="AI423" s="2" t="s">
        <v>5</v>
      </c>
      <c r="AJ423" s="2" t="s">
        <v>5</v>
      </c>
      <c r="AK423" s="2" t="s">
        <v>5</v>
      </c>
    </row>
    <row r="424" spans="3:37" ht="12.5">
      <c r="C424" s="2" t="str">
        <f ca="1"/>
        <v/>
      </c>
      <c r="D424" s="2" t="str">
        <v/>
      </c>
      <c r="E424" s="29" t="str">
        <v/>
      </c>
      <c r="F424" s="30" t="str">
        <v/>
      </c>
      <c r="G424" s="29" t="str">
        <v/>
      </c>
      <c r="H424" s="30" t="str">
        <v/>
      </c>
      <c r="I424" s="29" t="str">
        <v/>
      </c>
      <c r="J424" s="29" t="str">
        <v/>
      </c>
      <c r="K424" s="29" t="str">
        <v/>
      </c>
      <c r="L424" s="29" t="str">
        <v/>
      </c>
      <c r="M424" s="29" t="str">
        <v/>
      </c>
      <c r="N424" s="29" t="str">
        <v/>
      </c>
      <c r="O424" s="2" t="str">
        <f ca="1"/>
        <v/>
      </c>
      <c r="P424" s="2" t="str">
        <f ca="1"/>
        <v/>
      </c>
      <c r="Q424" s="2" t="s">
        <v>5</v>
      </c>
      <c r="R424" s="2" t="s">
        <v>5</v>
      </c>
      <c r="U424" s="2"/>
      <c r="V424" s="2" t="s">
        <v>5</v>
      </c>
      <c r="W424" s="2" t="s">
        <v>5</v>
      </c>
      <c r="X424" s="29" t="s">
        <v>5</v>
      </c>
      <c r="Y424" s="30" t="s">
        <v>5</v>
      </c>
      <c r="Z424" s="29" t="s">
        <v>5</v>
      </c>
      <c r="AA424" s="30" t="s">
        <v>5</v>
      </c>
      <c r="AB424" s="29" t="s">
        <v>5</v>
      </c>
      <c r="AC424" s="29" t="s">
        <v>5</v>
      </c>
      <c r="AD424" s="29" t="s">
        <v>5</v>
      </c>
      <c r="AE424" s="29" t="s">
        <v>5</v>
      </c>
      <c r="AF424" s="29" t="s">
        <v>5</v>
      </c>
      <c r="AG424" s="29" t="s">
        <v>5</v>
      </c>
      <c r="AH424" s="2" t="s">
        <v>5</v>
      </c>
      <c r="AI424" s="2" t="s">
        <v>5</v>
      </c>
      <c r="AJ424" s="2" t="s">
        <v>5</v>
      </c>
      <c r="AK424" s="2" t="s">
        <v>5</v>
      </c>
    </row>
    <row r="425" spans="3:37" ht="12.5">
      <c r="C425" s="2" t="str">
        <f ca="1"/>
        <v/>
      </c>
      <c r="D425" s="2" t="str">
        <v/>
      </c>
      <c r="E425" s="29" t="str">
        <v/>
      </c>
      <c r="F425" s="30" t="str">
        <v/>
      </c>
      <c r="G425" s="29" t="str">
        <v/>
      </c>
      <c r="H425" s="30" t="str">
        <v/>
      </c>
      <c r="I425" s="29" t="str">
        <v/>
      </c>
      <c r="J425" s="29" t="str">
        <v/>
      </c>
      <c r="K425" s="29" t="str">
        <v/>
      </c>
      <c r="L425" s="29" t="str">
        <v/>
      </c>
      <c r="M425" s="29" t="str">
        <v/>
      </c>
      <c r="N425" s="29" t="str">
        <v/>
      </c>
      <c r="O425" s="2" t="str">
        <f ca="1"/>
        <v/>
      </c>
      <c r="P425" s="2" t="str">
        <f ca="1"/>
        <v/>
      </c>
      <c r="Q425" s="2" t="s">
        <v>5</v>
      </c>
      <c r="R425" s="2" t="s">
        <v>5</v>
      </c>
      <c r="U425" s="2"/>
      <c r="V425" s="2" t="s">
        <v>5</v>
      </c>
      <c r="W425" s="2" t="s">
        <v>5</v>
      </c>
      <c r="X425" s="29" t="s">
        <v>5</v>
      </c>
      <c r="Y425" s="30" t="s">
        <v>5</v>
      </c>
      <c r="Z425" s="29" t="s">
        <v>5</v>
      </c>
      <c r="AA425" s="30" t="s">
        <v>5</v>
      </c>
      <c r="AB425" s="29" t="s">
        <v>5</v>
      </c>
      <c r="AC425" s="29" t="s">
        <v>5</v>
      </c>
      <c r="AD425" s="29" t="s">
        <v>5</v>
      </c>
      <c r="AE425" s="29" t="s">
        <v>5</v>
      </c>
      <c r="AF425" s="29" t="s">
        <v>5</v>
      </c>
      <c r="AG425" s="29" t="s">
        <v>5</v>
      </c>
      <c r="AH425" s="2" t="s">
        <v>5</v>
      </c>
      <c r="AI425" s="2" t="s">
        <v>5</v>
      </c>
      <c r="AJ425" s="2" t="s">
        <v>5</v>
      </c>
      <c r="AK425" s="2" t="s">
        <v>5</v>
      </c>
    </row>
    <row r="426" spans="3:37" ht="12.5">
      <c r="C426" s="2" t="str">
        <f ca="1"/>
        <v/>
      </c>
      <c r="D426" s="2" t="str">
        <v/>
      </c>
      <c r="E426" s="29" t="str">
        <v/>
      </c>
      <c r="F426" s="30" t="str">
        <v/>
      </c>
      <c r="G426" s="29" t="str">
        <v/>
      </c>
      <c r="H426" s="30" t="str">
        <v/>
      </c>
      <c r="I426" s="29" t="str">
        <v/>
      </c>
      <c r="J426" s="29" t="str">
        <v/>
      </c>
      <c r="K426" s="29" t="str">
        <v/>
      </c>
      <c r="L426" s="29" t="str">
        <v/>
      </c>
      <c r="M426" s="29" t="str">
        <v/>
      </c>
      <c r="N426" s="29" t="str">
        <v/>
      </c>
      <c r="O426" s="2" t="str">
        <f ca="1"/>
        <v/>
      </c>
      <c r="P426" s="2" t="str">
        <f ca="1"/>
        <v/>
      </c>
      <c r="Q426" s="2" t="s">
        <v>5</v>
      </c>
      <c r="R426" s="2" t="s">
        <v>5</v>
      </c>
      <c r="U426" s="2"/>
      <c r="V426" s="2" t="s">
        <v>5</v>
      </c>
      <c r="W426" s="2" t="s">
        <v>5</v>
      </c>
      <c r="X426" s="29" t="s">
        <v>5</v>
      </c>
      <c r="Y426" s="30" t="s">
        <v>5</v>
      </c>
      <c r="Z426" s="29" t="s">
        <v>5</v>
      </c>
      <c r="AA426" s="30" t="s">
        <v>5</v>
      </c>
      <c r="AB426" s="29" t="s">
        <v>5</v>
      </c>
      <c r="AC426" s="29" t="s">
        <v>5</v>
      </c>
      <c r="AD426" s="29" t="s">
        <v>5</v>
      </c>
      <c r="AE426" s="29" t="s">
        <v>5</v>
      </c>
      <c r="AF426" s="29" t="s">
        <v>5</v>
      </c>
      <c r="AG426" s="29" t="s">
        <v>5</v>
      </c>
      <c r="AH426" s="2" t="s">
        <v>5</v>
      </c>
      <c r="AI426" s="2" t="s">
        <v>5</v>
      </c>
      <c r="AJ426" s="2" t="s">
        <v>5</v>
      </c>
      <c r="AK426" s="2" t="s">
        <v>5</v>
      </c>
    </row>
    <row r="427" spans="3:37" ht="12.5">
      <c r="C427" s="2" t="str">
        <f ca="1"/>
        <v/>
      </c>
      <c r="D427" s="2" t="str">
        <v/>
      </c>
      <c r="E427" s="29" t="str">
        <v/>
      </c>
      <c r="F427" s="30" t="str">
        <v/>
      </c>
      <c r="G427" s="29" t="str">
        <v/>
      </c>
      <c r="H427" s="30" t="str">
        <v/>
      </c>
      <c r="I427" s="29" t="str">
        <v/>
      </c>
      <c r="J427" s="29" t="str">
        <v/>
      </c>
      <c r="K427" s="29" t="str">
        <v/>
      </c>
      <c r="L427" s="29" t="str">
        <v/>
      </c>
      <c r="M427" s="29" t="str">
        <v/>
      </c>
      <c r="N427" s="29" t="str">
        <v/>
      </c>
      <c r="O427" s="2" t="str">
        <f ca="1"/>
        <v/>
      </c>
      <c r="P427" s="2" t="str">
        <f ca="1"/>
        <v/>
      </c>
      <c r="Q427" s="2" t="s">
        <v>5</v>
      </c>
      <c r="R427" s="2" t="s">
        <v>5</v>
      </c>
      <c r="U427" s="2"/>
      <c r="V427" s="2" t="s">
        <v>5</v>
      </c>
      <c r="W427" s="2" t="s">
        <v>5</v>
      </c>
      <c r="X427" s="29" t="s">
        <v>5</v>
      </c>
      <c r="Y427" s="30" t="s">
        <v>5</v>
      </c>
      <c r="Z427" s="29" t="s">
        <v>5</v>
      </c>
      <c r="AA427" s="30" t="s">
        <v>5</v>
      </c>
      <c r="AB427" s="29" t="s">
        <v>5</v>
      </c>
      <c r="AC427" s="29" t="s">
        <v>5</v>
      </c>
      <c r="AD427" s="29" t="s">
        <v>5</v>
      </c>
      <c r="AE427" s="29" t="s">
        <v>5</v>
      </c>
      <c r="AF427" s="29" t="s">
        <v>5</v>
      </c>
      <c r="AG427" s="29" t="s">
        <v>5</v>
      </c>
      <c r="AH427" s="2" t="s">
        <v>5</v>
      </c>
      <c r="AI427" s="2" t="s">
        <v>5</v>
      </c>
      <c r="AJ427" s="2" t="s">
        <v>5</v>
      </c>
      <c r="AK427" s="2" t="s">
        <v>5</v>
      </c>
    </row>
    <row r="428" spans="3:37" ht="12.5">
      <c r="C428" s="2" t="str">
        <f ca="1"/>
        <v/>
      </c>
      <c r="D428" s="2" t="str">
        <v/>
      </c>
      <c r="E428" s="29" t="str">
        <v/>
      </c>
      <c r="F428" s="30" t="str">
        <v/>
      </c>
      <c r="G428" s="29" t="str">
        <v/>
      </c>
      <c r="H428" s="30" t="str">
        <v/>
      </c>
      <c r="I428" s="29" t="str">
        <v/>
      </c>
      <c r="J428" s="29" t="str">
        <v/>
      </c>
      <c r="K428" s="29" t="str">
        <v/>
      </c>
      <c r="L428" s="29" t="str">
        <v/>
      </c>
      <c r="M428" s="29" t="str">
        <v/>
      </c>
      <c r="N428" s="29" t="str">
        <v/>
      </c>
      <c r="O428" s="2" t="str">
        <f ca="1"/>
        <v/>
      </c>
      <c r="P428" s="2" t="str">
        <f ca="1"/>
        <v/>
      </c>
      <c r="Q428" s="2" t="s">
        <v>5</v>
      </c>
      <c r="R428" s="2" t="s">
        <v>5</v>
      </c>
      <c r="U428" s="2"/>
      <c r="V428" s="2" t="s">
        <v>5</v>
      </c>
      <c r="W428" s="2" t="s">
        <v>5</v>
      </c>
      <c r="X428" s="29" t="s">
        <v>5</v>
      </c>
      <c r="Y428" s="30" t="s">
        <v>5</v>
      </c>
      <c r="Z428" s="29" t="s">
        <v>5</v>
      </c>
      <c r="AA428" s="30" t="s">
        <v>5</v>
      </c>
      <c r="AB428" s="29" t="s">
        <v>5</v>
      </c>
      <c r="AC428" s="29" t="s">
        <v>5</v>
      </c>
      <c r="AD428" s="29" t="s">
        <v>5</v>
      </c>
      <c r="AE428" s="29" t="s">
        <v>5</v>
      </c>
      <c r="AF428" s="29" t="s">
        <v>5</v>
      </c>
      <c r="AG428" s="29" t="s">
        <v>5</v>
      </c>
      <c r="AH428" s="2" t="s">
        <v>5</v>
      </c>
      <c r="AI428" s="2" t="s">
        <v>5</v>
      </c>
      <c r="AJ428" s="2" t="s">
        <v>5</v>
      </c>
      <c r="AK428" s="2" t="s">
        <v>5</v>
      </c>
    </row>
    <row r="429" spans="3:37" ht="12.5">
      <c r="C429" s="2" t="str">
        <f ca="1"/>
        <v/>
      </c>
      <c r="D429" s="2" t="str">
        <v/>
      </c>
      <c r="E429" s="29" t="str">
        <v/>
      </c>
      <c r="F429" s="30" t="str">
        <v/>
      </c>
      <c r="G429" s="29" t="str">
        <v/>
      </c>
      <c r="H429" s="30" t="str">
        <v/>
      </c>
      <c r="I429" s="29" t="str">
        <v/>
      </c>
      <c r="J429" s="29" t="str">
        <v/>
      </c>
      <c r="K429" s="29" t="str">
        <v/>
      </c>
      <c r="L429" s="29" t="str">
        <v/>
      </c>
      <c r="M429" s="29" t="str">
        <v/>
      </c>
      <c r="N429" s="29" t="str">
        <v/>
      </c>
      <c r="O429" s="2" t="str">
        <f ca="1"/>
        <v/>
      </c>
      <c r="P429" s="2" t="str">
        <f ca="1"/>
        <v/>
      </c>
      <c r="Q429" s="2" t="s">
        <v>5</v>
      </c>
      <c r="R429" s="2" t="s">
        <v>5</v>
      </c>
      <c r="U429" s="2"/>
      <c r="V429" s="2" t="s">
        <v>5</v>
      </c>
      <c r="W429" s="2" t="s">
        <v>5</v>
      </c>
      <c r="X429" s="29" t="s">
        <v>5</v>
      </c>
      <c r="Y429" s="30" t="s">
        <v>5</v>
      </c>
      <c r="Z429" s="29" t="s">
        <v>5</v>
      </c>
      <c r="AA429" s="30" t="s">
        <v>5</v>
      </c>
      <c r="AB429" s="29" t="s">
        <v>5</v>
      </c>
      <c r="AC429" s="29" t="s">
        <v>5</v>
      </c>
      <c r="AD429" s="29" t="s">
        <v>5</v>
      </c>
      <c r="AE429" s="29" t="s">
        <v>5</v>
      </c>
      <c r="AF429" s="29" t="s">
        <v>5</v>
      </c>
      <c r="AG429" s="29" t="s">
        <v>5</v>
      </c>
      <c r="AH429" s="2" t="s">
        <v>5</v>
      </c>
      <c r="AI429" s="2" t="s">
        <v>5</v>
      </c>
      <c r="AJ429" s="2" t="s">
        <v>5</v>
      </c>
      <c r="AK429" s="2" t="s">
        <v>5</v>
      </c>
    </row>
    <row r="430" spans="3:37" ht="12.5">
      <c r="C430" s="2" t="str">
        <f ca="1"/>
        <v/>
      </c>
      <c r="D430" s="2" t="str">
        <v/>
      </c>
      <c r="E430" s="29" t="str">
        <v/>
      </c>
      <c r="F430" s="30" t="str">
        <v/>
      </c>
      <c r="G430" s="29" t="str">
        <v/>
      </c>
      <c r="H430" s="30" t="str">
        <v/>
      </c>
      <c r="I430" s="29" t="str">
        <v/>
      </c>
      <c r="J430" s="29" t="str">
        <v/>
      </c>
      <c r="K430" s="29" t="str">
        <v/>
      </c>
      <c r="L430" s="29" t="str">
        <v/>
      </c>
      <c r="M430" s="29" t="str">
        <v/>
      </c>
      <c r="N430" s="29" t="str">
        <v/>
      </c>
      <c r="O430" s="2" t="str">
        <f ca="1"/>
        <v/>
      </c>
      <c r="P430" s="2" t="str">
        <f ca="1"/>
        <v/>
      </c>
      <c r="Q430" s="2" t="s">
        <v>5</v>
      </c>
      <c r="R430" s="2" t="s">
        <v>5</v>
      </c>
      <c r="U430" s="2"/>
      <c r="V430" s="2" t="s">
        <v>5</v>
      </c>
      <c r="W430" s="2" t="s">
        <v>5</v>
      </c>
      <c r="X430" s="29" t="s">
        <v>5</v>
      </c>
      <c r="Y430" s="30" t="s">
        <v>5</v>
      </c>
      <c r="Z430" s="29" t="s">
        <v>5</v>
      </c>
      <c r="AA430" s="30" t="s">
        <v>5</v>
      </c>
      <c r="AB430" s="29" t="s">
        <v>5</v>
      </c>
      <c r="AC430" s="29" t="s">
        <v>5</v>
      </c>
      <c r="AD430" s="29" t="s">
        <v>5</v>
      </c>
      <c r="AE430" s="29" t="s">
        <v>5</v>
      </c>
      <c r="AF430" s="29" t="s">
        <v>5</v>
      </c>
      <c r="AG430" s="29" t="s">
        <v>5</v>
      </c>
      <c r="AH430" s="2" t="s">
        <v>5</v>
      </c>
      <c r="AI430" s="2" t="s">
        <v>5</v>
      </c>
      <c r="AJ430" s="2" t="s">
        <v>5</v>
      </c>
      <c r="AK430" s="2" t="s">
        <v>5</v>
      </c>
    </row>
    <row r="431" spans="3:37" ht="12.5">
      <c r="C431" s="2" t="str">
        <f ca="1"/>
        <v/>
      </c>
      <c r="D431" s="2" t="str">
        <v/>
      </c>
      <c r="E431" s="29" t="str">
        <v/>
      </c>
      <c r="F431" s="30" t="str">
        <v/>
      </c>
      <c r="G431" s="29" t="str">
        <v/>
      </c>
      <c r="H431" s="30" t="str">
        <v/>
      </c>
      <c r="I431" s="29" t="str">
        <v/>
      </c>
      <c r="J431" s="29" t="str">
        <v/>
      </c>
      <c r="K431" s="29" t="str">
        <v/>
      </c>
      <c r="L431" s="29" t="str">
        <v/>
      </c>
      <c r="M431" s="29" t="str">
        <v/>
      </c>
      <c r="N431" s="29" t="str">
        <v/>
      </c>
      <c r="O431" s="2" t="str">
        <f ca="1"/>
        <v/>
      </c>
      <c r="P431" s="2" t="str">
        <f ca="1"/>
        <v/>
      </c>
      <c r="Q431" s="2" t="s">
        <v>5</v>
      </c>
      <c r="R431" s="2" t="s">
        <v>5</v>
      </c>
      <c r="U431" s="2"/>
      <c r="V431" s="2" t="s">
        <v>5</v>
      </c>
      <c r="W431" s="2" t="s">
        <v>5</v>
      </c>
      <c r="X431" s="29" t="s">
        <v>5</v>
      </c>
      <c r="Y431" s="30" t="s">
        <v>5</v>
      </c>
      <c r="Z431" s="29" t="s">
        <v>5</v>
      </c>
      <c r="AA431" s="30" t="s">
        <v>5</v>
      </c>
      <c r="AB431" s="29" t="s">
        <v>5</v>
      </c>
      <c r="AC431" s="29" t="s">
        <v>5</v>
      </c>
      <c r="AD431" s="29" t="s">
        <v>5</v>
      </c>
      <c r="AE431" s="29" t="s">
        <v>5</v>
      </c>
      <c r="AF431" s="29" t="s">
        <v>5</v>
      </c>
      <c r="AG431" s="29" t="s">
        <v>5</v>
      </c>
      <c r="AH431" s="2" t="s">
        <v>5</v>
      </c>
      <c r="AI431" s="2" t="s">
        <v>5</v>
      </c>
      <c r="AJ431" s="2" t="s">
        <v>5</v>
      </c>
      <c r="AK431" s="2" t="s">
        <v>5</v>
      </c>
    </row>
    <row r="432" spans="3:37" ht="12.5">
      <c r="C432" s="2" t="str">
        <f ca="1"/>
        <v/>
      </c>
      <c r="D432" s="2" t="str">
        <v/>
      </c>
      <c r="E432" s="29" t="str">
        <v/>
      </c>
      <c r="F432" s="30" t="str">
        <v/>
      </c>
      <c r="G432" s="29" t="str">
        <v/>
      </c>
      <c r="H432" s="30" t="str">
        <v/>
      </c>
      <c r="I432" s="29" t="str">
        <v/>
      </c>
      <c r="J432" s="29" t="str">
        <v/>
      </c>
      <c r="K432" s="29" t="str">
        <v/>
      </c>
      <c r="L432" s="29" t="str">
        <v/>
      </c>
      <c r="M432" s="29" t="str">
        <v/>
      </c>
      <c r="N432" s="29" t="str">
        <v/>
      </c>
      <c r="O432" s="2" t="str">
        <f ca="1"/>
        <v/>
      </c>
      <c r="P432" s="2" t="str">
        <f ca="1"/>
        <v/>
      </c>
      <c r="Q432" s="2" t="s">
        <v>5</v>
      </c>
      <c r="R432" s="2" t="s">
        <v>5</v>
      </c>
      <c r="U432" s="2"/>
      <c r="V432" s="2" t="s">
        <v>5</v>
      </c>
      <c r="W432" s="2" t="s">
        <v>5</v>
      </c>
      <c r="X432" s="29" t="s">
        <v>5</v>
      </c>
      <c r="Y432" s="30" t="s">
        <v>5</v>
      </c>
      <c r="Z432" s="29" t="s">
        <v>5</v>
      </c>
      <c r="AA432" s="30" t="s">
        <v>5</v>
      </c>
      <c r="AB432" s="29" t="s">
        <v>5</v>
      </c>
      <c r="AC432" s="29" t="s">
        <v>5</v>
      </c>
      <c r="AD432" s="29" t="s">
        <v>5</v>
      </c>
      <c r="AE432" s="29" t="s">
        <v>5</v>
      </c>
      <c r="AF432" s="29" t="s">
        <v>5</v>
      </c>
      <c r="AG432" s="29" t="s">
        <v>5</v>
      </c>
      <c r="AH432" s="2" t="s">
        <v>5</v>
      </c>
      <c r="AI432" s="2" t="s">
        <v>5</v>
      </c>
      <c r="AJ432" s="2" t="s">
        <v>5</v>
      </c>
      <c r="AK432" s="2" t="s">
        <v>5</v>
      </c>
    </row>
    <row r="433" spans="3:37" ht="12.5">
      <c r="C433" s="2" t="str">
        <f ca="1"/>
        <v/>
      </c>
      <c r="D433" s="2" t="str">
        <v/>
      </c>
      <c r="E433" s="29" t="str">
        <v/>
      </c>
      <c r="F433" s="30" t="str">
        <v/>
      </c>
      <c r="G433" s="29" t="str">
        <v/>
      </c>
      <c r="H433" s="30" t="str">
        <v/>
      </c>
      <c r="I433" s="29" t="str">
        <v/>
      </c>
      <c r="J433" s="29" t="str">
        <v/>
      </c>
      <c r="K433" s="29" t="str">
        <v/>
      </c>
      <c r="L433" s="29" t="str">
        <v/>
      </c>
      <c r="M433" s="29" t="str">
        <v/>
      </c>
      <c r="N433" s="29" t="str">
        <v/>
      </c>
      <c r="O433" s="2" t="str">
        <f ca="1"/>
        <v/>
      </c>
      <c r="P433" s="2" t="str">
        <f ca="1"/>
        <v/>
      </c>
      <c r="Q433" s="2" t="s">
        <v>5</v>
      </c>
      <c r="R433" s="2" t="s">
        <v>5</v>
      </c>
      <c r="U433" s="2"/>
      <c r="V433" s="2" t="s">
        <v>5</v>
      </c>
      <c r="W433" s="2" t="s">
        <v>5</v>
      </c>
      <c r="X433" s="29" t="s">
        <v>5</v>
      </c>
      <c r="Y433" s="30" t="s">
        <v>5</v>
      </c>
      <c r="Z433" s="29" t="s">
        <v>5</v>
      </c>
      <c r="AA433" s="30" t="s">
        <v>5</v>
      </c>
      <c r="AB433" s="29" t="s">
        <v>5</v>
      </c>
      <c r="AC433" s="29" t="s">
        <v>5</v>
      </c>
      <c r="AD433" s="29" t="s">
        <v>5</v>
      </c>
      <c r="AE433" s="29" t="s">
        <v>5</v>
      </c>
      <c r="AF433" s="29" t="s">
        <v>5</v>
      </c>
      <c r="AG433" s="29" t="s">
        <v>5</v>
      </c>
      <c r="AH433" s="2" t="s">
        <v>5</v>
      </c>
      <c r="AI433" s="2" t="s">
        <v>5</v>
      </c>
      <c r="AJ433" s="2" t="s">
        <v>5</v>
      </c>
      <c r="AK433" s="2" t="s">
        <v>5</v>
      </c>
    </row>
    <row r="434" spans="3:37" ht="12.5">
      <c r="C434" s="2" t="str">
        <f ca="1"/>
        <v/>
      </c>
      <c r="D434" s="2" t="str">
        <v/>
      </c>
      <c r="E434" s="29" t="str">
        <v/>
      </c>
      <c r="F434" s="30" t="str">
        <v/>
      </c>
      <c r="G434" s="29" t="str">
        <v/>
      </c>
      <c r="H434" s="30" t="str">
        <v/>
      </c>
      <c r="I434" s="29" t="str">
        <v/>
      </c>
      <c r="J434" s="29" t="str">
        <v/>
      </c>
      <c r="K434" s="29" t="str">
        <v/>
      </c>
      <c r="L434" s="29" t="str">
        <v/>
      </c>
      <c r="M434" s="29" t="str">
        <v/>
      </c>
      <c r="N434" s="29" t="str">
        <v/>
      </c>
      <c r="O434" s="2" t="str">
        <f ca="1"/>
        <v/>
      </c>
      <c r="P434" s="2" t="str">
        <f ca="1"/>
        <v/>
      </c>
      <c r="Q434" s="2" t="s">
        <v>5</v>
      </c>
      <c r="R434" s="2" t="s">
        <v>5</v>
      </c>
      <c r="U434" s="2"/>
      <c r="V434" s="2" t="s">
        <v>5</v>
      </c>
      <c r="W434" s="2" t="s">
        <v>5</v>
      </c>
      <c r="X434" s="29" t="s">
        <v>5</v>
      </c>
      <c r="Y434" s="30" t="s">
        <v>5</v>
      </c>
      <c r="Z434" s="29" t="s">
        <v>5</v>
      </c>
      <c r="AA434" s="30" t="s">
        <v>5</v>
      </c>
      <c r="AB434" s="29" t="s">
        <v>5</v>
      </c>
      <c r="AC434" s="29" t="s">
        <v>5</v>
      </c>
      <c r="AD434" s="29" t="s">
        <v>5</v>
      </c>
      <c r="AE434" s="29" t="s">
        <v>5</v>
      </c>
      <c r="AF434" s="29" t="s">
        <v>5</v>
      </c>
      <c r="AG434" s="29" t="s">
        <v>5</v>
      </c>
      <c r="AH434" s="2" t="s">
        <v>5</v>
      </c>
      <c r="AI434" s="2" t="s">
        <v>5</v>
      </c>
      <c r="AJ434" s="2" t="s">
        <v>5</v>
      </c>
      <c r="AK434" s="2" t="s">
        <v>5</v>
      </c>
    </row>
    <row r="435" spans="3:37" ht="12.5">
      <c r="C435" s="2" t="str">
        <f ca="1"/>
        <v/>
      </c>
      <c r="D435" s="2" t="str">
        <v/>
      </c>
      <c r="E435" s="29" t="str">
        <v/>
      </c>
      <c r="F435" s="30" t="str">
        <v/>
      </c>
      <c r="G435" s="29" t="str">
        <v/>
      </c>
      <c r="H435" s="30" t="str">
        <v/>
      </c>
      <c r="I435" s="29" t="str">
        <v/>
      </c>
      <c r="J435" s="29" t="str">
        <v/>
      </c>
      <c r="K435" s="29" t="str">
        <v/>
      </c>
      <c r="L435" s="29" t="str">
        <v/>
      </c>
      <c r="M435" s="29" t="str">
        <v/>
      </c>
      <c r="N435" s="29" t="str">
        <v/>
      </c>
      <c r="O435" s="2" t="str">
        <f ca="1"/>
        <v/>
      </c>
      <c r="P435" s="2" t="str">
        <f ca="1"/>
        <v/>
      </c>
      <c r="Q435" s="2" t="s">
        <v>5</v>
      </c>
      <c r="R435" s="2" t="s">
        <v>5</v>
      </c>
      <c r="U435" s="2"/>
      <c r="V435" s="2" t="s">
        <v>5</v>
      </c>
      <c r="W435" s="2" t="s">
        <v>5</v>
      </c>
      <c r="X435" s="29" t="s">
        <v>5</v>
      </c>
      <c r="Y435" s="30" t="s">
        <v>5</v>
      </c>
      <c r="Z435" s="29" t="s">
        <v>5</v>
      </c>
      <c r="AA435" s="30" t="s">
        <v>5</v>
      </c>
      <c r="AB435" s="29" t="s">
        <v>5</v>
      </c>
      <c r="AC435" s="29" t="s">
        <v>5</v>
      </c>
      <c r="AD435" s="29" t="s">
        <v>5</v>
      </c>
      <c r="AE435" s="29" t="s">
        <v>5</v>
      </c>
      <c r="AF435" s="29" t="s">
        <v>5</v>
      </c>
      <c r="AG435" s="29" t="s">
        <v>5</v>
      </c>
      <c r="AH435" s="2" t="s">
        <v>5</v>
      </c>
      <c r="AI435" s="2" t="s">
        <v>5</v>
      </c>
      <c r="AJ435" s="2" t="s">
        <v>5</v>
      </c>
      <c r="AK435" s="2" t="s">
        <v>5</v>
      </c>
    </row>
    <row r="436" spans="3:37" ht="12.5">
      <c r="C436" s="2" t="str">
        <f ca="1"/>
        <v/>
      </c>
      <c r="D436" s="2" t="str">
        <v/>
      </c>
      <c r="E436" s="29" t="str">
        <v/>
      </c>
      <c r="F436" s="30" t="str">
        <v/>
      </c>
      <c r="G436" s="29" t="str">
        <v/>
      </c>
      <c r="H436" s="30" t="str">
        <v/>
      </c>
      <c r="I436" s="29" t="str">
        <v/>
      </c>
      <c r="J436" s="29" t="str">
        <v/>
      </c>
      <c r="K436" s="29" t="str">
        <v/>
      </c>
      <c r="L436" s="29" t="str">
        <v/>
      </c>
      <c r="M436" s="29" t="str">
        <v/>
      </c>
      <c r="N436" s="29" t="str">
        <v/>
      </c>
      <c r="O436" s="2" t="str">
        <f ca="1"/>
        <v/>
      </c>
      <c r="P436" s="2" t="str">
        <f ca="1"/>
        <v/>
      </c>
      <c r="Q436" s="2" t="s">
        <v>5</v>
      </c>
      <c r="R436" s="2" t="s">
        <v>5</v>
      </c>
      <c r="U436" s="2"/>
      <c r="V436" s="2" t="s">
        <v>5</v>
      </c>
      <c r="W436" s="2" t="s">
        <v>5</v>
      </c>
      <c r="X436" s="29" t="s">
        <v>5</v>
      </c>
      <c r="Y436" s="30" t="s">
        <v>5</v>
      </c>
      <c r="Z436" s="29" t="s">
        <v>5</v>
      </c>
      <c r="AA436" s="30" t="s">
        <v>5</v>
      </c>
      <c r="AB436" s="29" t="s">
        <v>5</v>
      </c>
      <c r="AC436" s="29" t="s">
        <v>5</v>
      </c>
      <c r="AD436" s="29" t="s">
        <v>5</v>
      </c>
      <c r="AE436" s="29" t="s">
        <v>5</v>
      </c>
      <c r="AF436" s="29" t="s">
        <v>5</v>
      </c>
      <c r="AG436" s="29" t="s">
        <v>5</v>
      </c>
      <c r="AH436" s="2" t="s">
        <v>5</v>
      </c>
      <c r="AI436" s="2" t="s">
        <v>5</v>
      </c>
      <c r="AJ436" s="2" t="s">
        <v>5</v>
      </c>
      <c r="AK436" s="2" t="s">
        <v>5</v>
      </c>
    </row>
    <row r="437" spans="3:37" ht="12.5">
      <c r="C437" s="2" t="str">
        <f ca="1"/>
        <v/>
      </c>
      <c r="D437" s="2" t="str">
        <v/>
      </c>
      <c r="E437" s="29" t="str">
        <v/>
      </c>
      <c r="F437" s="30" t="str">
        <v/>
      </c>
      <c r="G437" s="29" t="str">
        <v/>
      </c>
      <c r="H437" s="30" t="str">
        <v/>
      </c>
      <c r="I437" s="29" t="str">
        <v/>
      </c>
      <c r="J437" s="29" t="str">
        <v/>
      </c>
      <c r="K437" s="29" t="str">
        <v/>
      </c>
      <c r="L437" s="29" t="str">
        <v/>
      </c>
      <c r="M437" s="29" t="str">
        <v/>
      </c>
      <c r="N437" s="29" t="str">
        <v/>
      </c>
      <c r="O437" s="2" t="str">
        <f ca="1"/>
        <v/>
      </c>
      <c r="P437" s="2" t="str">
        <f ca="1"/>
        <v/>
      </c>
      <c r="Q437" s="2" t="s">
        <v>5</v>
      </c>
      <c r="R437" s="2" t="s">
        <v>5</v>
      </c>
      <c r="U437" s="2"/>
      <c r="V437" s="2" t="s">
        <v>5</v>
      </c>
      <c r="W437" s="2" t="s">
        <v>5</v>
      </c>
      <c r="X437" s="29" t="s">
        <v>5</v>
      </c>
      <c r="Y437" s="30" t="s">
        <v>5</v>
      </c>
      <c r="Z437" s="29" t="s">
        <v>5</v>
      </c>
      <c r="AA437" s="30" t="s">
        <v>5</v>
      </c>
      <c r="AB437" s="29" t="s">
        <v>5</v>
      </c>
      <c r="AC437" s="29" t="s">
        <v>5</v>
      </c>
      <c r="AD437" s="29" t="s">
        <v>5</v>
      </c>
      <c r="AE437" s="29" t="s">
        <v>5</v>
      </c>
      <c r="AF437" s="29" t="s">
        <v>5</v>
      </c>
      <c r="AG437" s="29" t="s">
        <v>5</v>
      </c>
      <c r="AH437" s="2" t="s">
        <v>5</v>
      </c>
      <c r="AI437" s="2" t="s">
        <v>5</v>
      </c>
      <c r="AJ437" s="2" t="s">
        <v>5</v>
      </c>
      <c r="AK437" s="2" t="s">
        <v>5</v>
      </c>
    </row>
    <row r="438" spans="3:37" ht="12.5">
      <c r="C438" s="2" t="str">
        <f ca="1"/>
        <v/>
      </c>
      <c r="D438" s="2" t="str">
        <v/>
      </c>
      <c r="E438" s="29" t="str">
        <v/>
      </c>
      <c r="F438" s="30" t="str">
        <v/>
      </c>
      <c r="G438" s="29" t="str">
        <v/>
      </c>
      <c r="H438" s="30" t="str">
        <v/>
      </c>
      <c r="I438" s="29" t="str">
        <v/>
      </c>
      <c r="J438" s="29" t="str">
        <v/>
      </c>
      <c r="K438" s="29" t="str">
        <v/>
      </c>
      <c r="L438" s="29" t="str">
        <v/>
      </c>
      <c r="M438" s="29" t="str">
        <v/>
      </c>
      <c r="N438" s="29" t="str">
        <v/>
      </c>
      <c r="O438" s="2" t="str">
        <f ca="1"/>
        <v/>
      </c>
      <c r="P438" s="2" t="str">
        <f ca="1"/>
        <v/>
      </c>
      <c r="Q438" s="2" t="s">
        <v>5</v>
      </c>
      <c r="R438" s="2" t="s">
        <v>5</v>
      </c>
      <c r="U438" s="2"/>
      <c r="V438" s="2" t="s">
        <v>5</v>
      </c>
      <c r="W438" s="2" t="s">
        <v>5</v>
      </c>
      <c r="X438" s="29" t="s">
        <v>5</v>
      </c>
      <c r="Y438" s="30" t="s">
        <v>5</v>
      </c>
      <c r="Z438" s="29" t="s">
        <v>5</v>
      </c>
      <c r="AA438" s="30" t="s">
        <v>5</v>
      </c>
      <c r="AB438" s="29" t="s">
        <v>5</v>
      </c>
      <c r="AC438" s="29" t="s">
        <v>5</v>
      </c>
      <c r="AD438" s="29" t="s">
        <v>5</v>
      </c>
      <c r="AE438" s="29" t="s">
        <v>5</v>
      </c>
      <c r="AF438" s="29" t="s">
        <v>5</v>
      </c>
      <c r="AG438" s="29" t="s">
        <v>5</v>
      </c>
      <c r="AH438" s="2" t="s">
        <v>5</v>
      </c>
      <c r="AI438" s="2" t="s">
        <v>5</v>
      </c>
      <c r="AJ438" s="2" t="s">
        <v>5</v>
      </c>
      <c r="AK438" s="2" t="s">
        <v>5</v>
      </c>
    </row>
    <row r="439" spans="3:37" ht="12.5">
      <c r="C439" s="2" t="str">
        <f ca="1"/>
        <v/>
      </c>
      <c r="D439" s="2" t="str">
        <v/>
      </c>
      <c r="E439" s="29" t="str">
        <v/>
      </c>
      <c r="F439" s="30" t="str">
        <v/>
      </c>
      <c r="G439" s="29" t="str">
        <v/>
      </c>
      <c r="H439" s="30" t="str">
        <v/>
      </c>
      <c r="I439" s="29" t="str">
        <v/>
      </c>
      <c r="J439" s="29" t="str">
        <v/>
      </c>
      <c r="K439" s="29" t="str">
        <v/>
      </c>
      <c r="L439" s="29" t="str">
        <v/>
      </c>
      <c r="M439" s="29" t="str">
        <v/>
      </c>
      <c r="N439" s="29" t="str">
        <v/>
      </c>
      <c r="O439" s="2" t="str">
        <f ca="1"/>
        <v/>
      </c>
      <c r="P439" s="2" t="str">
        <f ca="1"/>
        <v/>
      </c>
      <c r="Q439" s="2" t="s">
        <v>5</v>
      </c>
      <c r="R439" s="2" t="s">
        <v>5</v>
      </c>
      <c r="U439" s="2"/>
      <c r="V439" s="2" t="s">
        <v>5</v>
      </c>
      <c r="W439" s="2" t="s">
        <v>5</v>
      </c>
      <c r="X439" s="29" t="s">
        <v>5</v>
      </c>
      <c r="Y439" s="30" t="s">
        <v>5</v>
      </c>
      <c r="Z439" s="29" t="s">
        <v>5</v>
      </c>
      <c r="AA439" s="30" t="s">
        <v>5</v>
      </c>
      <c r="AB439" s="29" t="s">
        <v>5</v>
      </c>
      <c r="AC439" s="29" t="s">
        <v>5</v>
      </c>
      <c r="AD439" s="29" t="s">
        <v>5</v>
      </c>
      <c r="AE439" s="29" t="s">
        <v>5</v>
      </c>
      <c r="AF439" s="29" t="s">
        <v>5</v>
      </c>
      <c r="AG439" s="29" t="s">
        <v>5</v>
      </c>
      <c r="AH439" s="2" t="s">
        <v>5</v>
      </c>
      <c r="AI439" s="2" t="s">
        <v>5</v>
      </c>
      <c r="AJ439" s="2" t="s">
        <v>5</v>
      </c>
      <c r="AK439" s="2" t="s">
        <v>5</v>
      </c>
    </row>
    <row r="440" spans="3:37" ht="12.5">
      <c r="C440" s="2" t="str">
        <f ca="1"/>
        <v/>
      </c>
      <c r="D440" s="2" t="str">
        <v/>
      </c>
      <c r="E440" s="29" t="str">
        <v/>
      </c>
      <c r="F440" s="30" t="str">
        <v/>
      </c>
      <c r="G440" s="29" t="str">
        <v/>
      </c>
      <c r="H440" s="30" t="str">
        <v/>
      </c>
      <c r="I440" s="29" t="str">
        <v/>
      </c>
      <c r="J440" s="29" t="str">
        <v/>
      </c>
      <c r="K440" s="29" t="str">
        <v/>
      </c>
      <c r="L440" s="29" t="str">
        <v/>
      </c>
      <c r="M440" s="29" t="str">
        <v/>
      </c>
      <c r="N440" s="29" t="str">
        <v/>
      </c>
      <c r="O440" s="2" t="str">
        <f ca="1"/>
        <v/>
      </c>
      <c r="P440" s="2" t="str">
        <f ca="1"/>
        <v/>
      </c>
      <c r="Q440" s="2" t="s">
        <v>5</v>
      </c>
      <c r="R440" s="2" t="s">
        <v>5</v>
      </c>
      <c r="U440" s="2"/>
      <c r="V440" s="2" t="s">
        <v>5</v>
      </c>
      <c r="W440" s="2" t="s">
        <v>5</v>
      </c>
      <c r="X440" s="29" t="s">
        <v>5</v>
      </c>
      <c r="Y440" s="30" t="s">
        <v>5</v>
      </c>
      <c r="Z440" s="29" t="s">
        <v>5</v>
      </c>
      <c r="AA440" s="30" t="s">
        <v>5</v>
      </c>
      <c r="AB440" s="29" t="s">
        <v>5</v>
      </c>
      <c r="AC440" s="29" t="s">
        <v>5</v>
      </c>
      <c r="AD440" s="29" t="s">
        <v>5</v>
      </c>
      <c r="AE440" s="29" t="s">
        <v>5</v>
      </c>
      <c r="AF440" s="29" t="s">
        <v>5</v>
      </c>
      <c r="AG440" s="29" t="s">
        <v>5</v>
      </c>
      <c r="AH440" s="2" t="s">
        <v>5</v>
      </c>
      <c r="AI440" s="2" t="s">
        <v>5</v>
      </c>
      <c r="AJ440" s="2" t="s">
        <v>5</v>
      </c>
      <c r="AK440" s="2" t="s">
        <v>5</v>
      </c>
    </row>
    <row r="441" spans="3:37" ht="12.5">
      <c r="C441" s="2" t="str">
        <f ca="1"/>
        <v/>
      </c>
      <c r="D441" s="2" t="str">
        <v/>
      </c>
      <c r="E441" s="29" t="str">
        <v/>
      </c>
      <c r="F441" s="30" t="str">
        <v/>
      </c>
      <c r="G441" s="29" t="str">
        <v/>
      </c>
      <c r="H441" s="30" t="str">
        <v/>
      </c>
      <c r="I441" s="29" t="str">
        <v/>
      </c>
      <c r="J441" s="29" t="str">
        <v/>
      </c>
      <c r="K441" s="29" t="str">
        <v/>
      </c>
      <c r="L441" s="29" t="str">
        <v/>
      </c>
      <c r="M441" s="29" t="str">
        <v/>
      </c>
      <c r="N441" s="29" t="str">
        <v/>
      </c>
      <c r="O441" s="2" t="str">
        <f ca="1"/>
        <v/>
      </c>
      <c r="P441" s="2" t="str">
        <f ca="1"/>
        <v/>
      </c>
      <c r="Q441" s="2" t="s">
        <v>5</v>
      </c>
      <c r="R441" s="2" t="s">
        <v>5</v>
      </c>
      <c r="U441" s="2"/>
      <c r="V441" s="2" t="s">
        <v>5</v>
      </c>
      <c r="W441" s="2" t="s">
        <v>5</v>
      </c>
      <c r="X441" s="29" t="s">
        <v>5</v>
      </c>
      <c r="Y441" s="30" t="s">
        <v>5</v>
      </c>
      <c r="Z441" s="29" t="s">
        <v>5</v>
      </c>
      <c r="AA441" s="30" t="s">
        <v>5</v>
      </c>
      <c r="AB441" s="29" t="s">
        <v>5</v>
      </c>
      <c r="AC441" s="29" t="s">
        <v>5</v>
      </c>
      <c r="AD441" s="29" t="s">
        <v>5</v>
      </c>
      <c r="AE441" s="29" t="s">
        <v>5</v>
      </c>
      <c r="AF441" s="29" t="s">
        <v>5</v>
      </c>
      <c r="AG441" s="29" t="s">
        <v>5</v>
      </c>
      <c r="AH441" s="2" t="s">
        <v>5</v>
      </c>
      <c r="AI441" s="2" t="s">
        <v>5</v>
      </c>
      <c r="AJ441" s="2" t="s">
        <v>5</v>
      </c>
      <c r="AK441" s="2" t="s">
        <v>5</v>
      </c>
    </row>
    <row r="442" spans="3:37" ht="12.5">
      <c r="C442" s="2" t="str">
        <f ca="1"/>
        <v/>
      </c>
      <c r="D442" s="2" t="str">
        <v/>
      </c>
      <c r="E442" s="29" t="str">
        <v/>
      </c>
      <c r="F442" s="30" t="str">
        <v/>
      </c>
      <c r="G442" s="29" t="str">
        <v/>
      </c>
      <c r="H442" s="30" t="str">
        <v/>
      </c>
      <c r="I442" s="29" t="str">
        <v/>
      </c>
      <c r="J442" s="29" t="str">
        <v/>
      </c>
      <c r="K442" s="29" t="str">
        <v/>
      </c>
      <c r="L442" s="29" t="str">
        <v/>
      </c>
      <c r="M442" s="29" t="str">
        <v/>
      </c>
      <c r="N442" s="29" t="str">
        <v/>
      </c>
      <c r="O442" s="2" t="str">
        <f ca="1"/>
        <v/>
      </c>
      <c r="P442" s="2" t="str">
        <f ca="1"/>
        <v/>
      </c>
      <c r="Q442" s="2" t="s">
        <v>5</v>
      </c>
      <c r="R442" s="2" t="s">
        <v>5</v>
      </c>
      <c r="U442" s="2"/>
      <c r="V442" s="2" t="s">
        <v>5</v>
      </c>
      <c r="W442" s="2" t="s">
        <v>5</v>
      </c>
      <c r="X442" s="29" t="s">
        <v>5</v>
      </c>
      <c r="Y442" s="30" t="s">
        <v>5</v>
      </c>
      <c r="Z442" s="29" t="s">
        <v>5</v>
      </c>
      <c r="AA442" s="30" t="s">
        <v>5</v>
      </c>
      <c r="AB442" s="29" t="s">
        <v>5</v>
      </c>
      <c r="AC442" s="29" t="s">
        <v>5</v>
      </c>
      <c r="AD442" s="29" t="s">
        <v>5</v>
      </c>
      <c r="AE442" s="29" t="s">
        <v>5</v>
      </c>
      <c r="AF442" s="29" t="s">
        <v>5</v>
      </c>
      <c r="AG442" s="29" t="s">
        <v>5</v>
      </c>
      <c r="AH442" s="2" t="s">
        <v>5</v>
      </c>
      <c r="AI442" s="2" t="s">
        <v>5</v>
      </c>
      <c r="AJ442" s="2" t="s">
        <v>5</v>
      </c>
      <c r="AK442" s="2" t="s">
        <v>5</v>
      </c>
    </row>
    <row r="443" spans="3:37" ht="12.5">
      <c r="C443" s="2" t="str">
        <f ca="1"/>
        <v/>
      </c>
      <c r="D443" s="2" t="str">
        <v/>
      </c>
      <c r="E443" s="29" t="str">
        <v/>
      </c>
      <c r="F443" s="30" t="str">
        <v/>
      </c>
      <c r="G443" s="29" t="str">
        <v/>
      </c>
      <c r="H443" s="30" t="str">
        <v/>
      </c>
      <c r="I443" s="29" t="str">
        <v/>
      </c>
      <c r="J443" s="29" t="str">
        <v/>
      </c>
      <c r="K443" s="29" t="str">
        <v/>
      </c>
      <c r="L443" s="29" t="str">
        <v/>
      </c>
      <c r="M443" s="29" t="str">
        <v/>
      </c>
      <c r="N443" s="29" t="str">
        <v/>
      </c>
      <c r="O443" s="2" t="str">
        <f ca="1"/>
        <v/>
      </c>
      <c r="P443" s="2" t="str">
        <f ca="1"/>
        <v/>
      </c>
      <c r="Q443" s="2" t="s">
        <v>5</v>
      </c>
      <c r="R443" s="2" t="s">
        <v>5</v>
      </c>
      <c r="U443" s="2"/>
      <c r="V443" s="2" t="s">
        <v>5</v>
      </c>
      <c r="W443" s="2" t="s">
        <v>5</v>
      </c>
      <c r="X443" s="29" t="s">
        <v>5</v>
      </c>
      <c r="Y443" s="30" t="s">
        <v>5</v>
      </c>
      <c r="Z443" s="29" t="s">
        <v>5</v>
      </c>
      <c r="AA443" s="30" t="s">
        <v>5</v>
      </c>
      <c r="AB443" s="29" t="s">
        <v>5</v>
      </c>
      <c r="AC443" s="29" t="s">
        <v>5</v>
      </c>
      <c r="AD443" s="29" t="s">
        <v>5</v>
      </c>
      <c r="AE443" s="29" t="s">
        <v>5</v>
      </c>
      <c r="AF443" s="29" t="s">
        <v>5</v>
      </c>
      <c r="AG443" s="29" t="s">
        <v>5</v>
      </c>
      <c r="AH443" s="2" t="s">
        <v>5</v>
      </c>
      <c r="AI443" s="2" t="s">
        <v>5</v>
      </c>
      <c r="AJ443" s="2" t="s">
        <v>5</v>
      </c>
      <c r="AK443" s="2" t="s">
        <v>5</v>
      </c>
    </row>
    <row r="444" spans="3:37" ht="12.5">
      <c r="C444" s="2" t="str">
        <f ca="1"/>
        <v/>
      </c>
      <c r="D444" s="2" t="str">
        <v/>
      </c>
      <c r="E444" s="29" t="str">
        <v/>
      </c>
      <c r="F444" s="30" t="str">
        <v/>
      </c>
      <c r="G444" s="29" t="str">
        <v/>
      </c>
      <c r="H444" s="30" t="str">
        <v/>
      </c>
      <c r="I444" s="29" t="str">
        <v/>
      </c>
      <c r="J444" s="29" t="str">
        <v/>
      </c>
      <c r="K444" s="29" t="str">
        <v/>
      </c>
      <c r="L444" s="29" t="str">
        <v/>
      </c>
      <c r="M444" s="29" t="str">
        <v/>
      </c>
      <c r="N444" s="29" t="str">
        <v/>
      </c>
      <c r="O444" s="2" t="str">
        <f ca="1"/>
        <v/>
      </c>
      <c r="P444" s="2" t="str">
        <f ca="1"/>
        <v/>
      </c>
      <c r="Q444" s="2" t="s">
        <v>5</v>
      </c>
      <c r="R444" s="2" t="s">
        <v>5</v>
      </c>
      <c r="U444" s="2"/>
      <c r="V444" s="2" t="s">
        <v>5</v>
      </c>
      <c r="W444" s="2" t="s">
        <v>5</v>
      </c>
      <c r="X444" s="29" t="s">
        <v>5</v>
      </c>
      <c r="Y444" s="30" t="s">
        <v>5</v>
      </c>
      <c r="Z444" s="29" t="s">
        <v>5</v>
      </c>
      <c r="AA444" s="30" t="s">
        <v>5</v>
      </c>
      <c r="AB444" s="29" t="s">
        <v>5</v>
      </c>
      <c r="AC444" s="29" t="s">
        <v>5</v>
      </c>
      <c r="AD444" s="29" t="s">
        <v>5</v>
      </c>
      <c r="AE444" s="29" t="s">
        <v>5</v>
      </c>
      <c r="AF444" s="29" t="s">
        <v>5</v>
      </c>
      <c r="AG444" s="29" t="s">
        <v>5</v>
      </c>
      <c r="AH444" s="2" t="s">
        <v>5</v>
      </c>
      <c r="AI444" s="2" t="s">
        <v>5</v>
      </c>
      <c r="AJ444" s="2" t="s">
        <v>5</v>
      </c>
      <c r="AK444" s="2" t="s">
        <v>5</v>
      </c>
    </row>
    <row r="445" spans="3:37" ht="12.5">
      <c r="C445" s="2" t="str">
        <f ca="1"/>
        <v/>
      </c>
      <c r="D445" s="2" t="str">
        <v/>
      </c>
      <c r="E445" s="29" t="str">
        <v/>
      </c>
      <c r="F445" s="30" t="str">
        <v/>
      </c>
      <c r="G445" s="29" t="str">
        <v/>
      </c>
      <c r="H445" s="30" t="str">
        <v/>
      </c>
      <c r="I445" s="29" t="str">
        <v/>
      </c>
      <c r="J445" s="29" t="str">
        <v/>
      </c>
      <c r="K445" s="29" t="str">
        <v/>
      </c>
      <c r="L445" s="29" t="str">
        <v/>
      </c>
      <c r="M445" s="29" t="str">
        <v/>
      </c>
      <c r="N445" s="29" t="str">
        <v/>
      </c>
      <c r="O445" s="2" t="str">
        <f ca="1"/>
        <v/>
      </c>
      <c r="P445" s="2" t="str">
        <f ca="1"/>
        <v/>
      </c>
      <c r="Q445" s="2" t="s">
        <v>5</v>
      </c>
      <c r="R445" s="2" t="s">
        <v>5</v>
      </c>
      <c r="U445" s="2"/>
      <c r="V445" s="2" t="s">
        <v>5</v>
      </c>
      <c r="W445" s="2" t="s">
        <v>5</v>
      </c>
      <c r="X445" s="29" t="s">
        <v>5</v>
      </c>
      <c r="Y445" s="30" t="s">
        <v>5</v>
      </c>
      <c r="Z445" s="29" t="s">
        <v>5</v>
      </c>
      <c r="AA445" s="30" t="s">
        <v>5</v>
      </c>
      <c r="AB445" s="29" t="s">
        <v>5</v>
      </c>
      <c r="AC445" s="29" t="s">
        <v>5</v>
      </c>
      <c r="AD445" s="29" t="s">
        <v>5</v>
      </c>
      <c r="AE445" s="29" t="s">
        <v>5</v>
      </c>
      <c r="AF445" s="29" t="s">
        <v>5</v>
      </c>
      <c r="AG445" s="29" t="s">
        <v>5</v>
      </c>
      <c r="AH445" s="2" t="s">
        <v>5</v>
      </c>
      <c r="AI445" s="2" t="s">
        <v>5</v>
      </c>
      <c r="AJ445" s="2" t="s">
        <v>5</v>
      </c>
      <c r="AK445" s="2" t="s">
        <v>5</v>
      </c>
    </row>
    <row r="446" spans="3:37" ht="12.5">
      <c r="C446" s="2" t="str">
        <f ca="1"/>
        <v/>
      </c>
      <c r="D446" s="2" t="str">
        <v/>
      </c>
      <c r="E446" s="29" t="str">
        <v/>
      </c>
      <c r="F446" s="30" t="str">
        <v/>
      </c>
      <c r="G446" s="29" t="str">
        <v/>
      </c>
      <c r="H446" s="30" t="str">
        <v/>
      </c>
      <c r="I446" s="29" t="str">
        <v/>
      </c>
      <c r="J446" s="29" t="str">
        <v/>
      </c>
      <c r="K446" s="29" t="str">
        <v/>
      </c>
      <c r="L446" s="29" t="str">
        <v/>
      </c>
      <c r="M446" s="29" t="str">
        <v/>
      </c>
      <c r="N446" s="29" t="str">
        <v/>
      </c>
      <c r="O446" s="2" t="str">
        <f ca="1"/>
        <v/>
      </c>
      <c r="P446" s="2" t="str">
        <f ca="1"/>
        <v/>
      </c>
      <c r="Q446" s="2" t="s">
        <v>5</v>
      </c>
      <c r="R446" s="2" t="s">
        <v>5</v>
      </c>
      <c r="U446" s="2"/>
      <c r="V446" s="2" t="s">
        <v>5</v>
      </c>
      <c r="W446" s="2" t="s">
        <v>5</v>
      </c>
      <c r="X446" s="29" t="s">
        <v>5</v>
      </c>
      <c r="Y446" s="30" t="s">
        <v>5</v>
      </c>
      <c r="Z446" s="29" t="s">
        <v>5</v>
      </c>
      <c r="AA446" s="30" t="s">
        <v>5</v>
      </c>
      <c r="AB446" s="29" t="s">
        <v>5</v>
      </c>
      <c r="AC446" s="29" t="s">
        <v>5</v>
      </c>
      <c r="AD446" s="29" t="s">
        <v>5</v>
      </c>
      <c r="AE446" s="29" t="s">
        <v>5</v>
      </c>
      <c r="AF446" s="29" t="s">
        <v>5</v>
      </c>
      <c r="AG446" s="29" t="s">
        <v>5</v>
      </c>
      <c r="AH446" s="2" t="s">
        <v>5</v>
      </c>
      <c r="AI446" s="2" t="s">
        <v>5</v>
      </c>
      <c r="AJ446" s="2" t="s">
        <v>5</v>
      </c>
      <c r="AK446" s="2" t="s">
        <v>5</v>
      </c>
    </row>
    <row r="447" spans="3:37" ht="12.5">
      <c r="C447" s="2" t="str">
        <f ca="1"/>
        <v/>
      </c>
      <c r="D447" s="2" t="str">
        <v/>
      </c>
      <c r="E447" s="29" t="str">
        <v/>
      </c>
      <c r="F447" s="30" t="str">
        <v/>
      </c>
      <c r="G447" s="29" t="str">
        <v/>
      </c>
      <c r="H447" s="30" t="str">
        <v/>
      </c>
      <c r="I447" s="29" t="str">
        <v/>
      </c>
      <c r="J447" s="29" t="str">
        <v/>
      </c>
      <c r="K447" s="29" t="str">
        <v/>
      </c>
      <c r="L447" s="29" t="str">
        <v/>
      </c>
      <c r="M447" s="29" t="str">
        <v/>
      </c>
      <c r="N447" s="29" t="str">
        <v/>
      </c>
      <c r="O447" s="2" t="str">
        <f ca="1"/>
        <v/>
      </c>
      <c r="P447" s="2" t="str">
        <f ca="1"/>
        <v/>
      </c>
      <c r="Q447" s="2" t="s">
        <v>5</v>
      </c>
      <c r="R447" s="2" t="s">
        <v>5</v>
      </c>
      <c r="U447" s="2"/>
      <c r="V447" s="2" t="s">
        <v>5</v>
      </c>
      <c r="W447" s="2" t="s">
        <v>5</v>
      </c>
      <c r="X447" s="29" t="s">
        <v>5</v>
      </c>
      <c r="Y447" s="30" t="s">
        <v>5</v>
      </c>
      <c r="Z447" s="29" t="s">
        <v>5</v>
      </c>
      <c r="AA447" s="30" t="s">
        <v>5</v>
      </c>
      <c r="AB447" s="29" t="s">
        <v>5</v>
      </c>
      <c r="AC447" s="29" t="s">
        <v>5</v>
      </c>
      <c r="AD447" s="29" t="s">
        <v>5</v>
      </c>
      <c r="AE447" s="29" t="s">
        <v>5</v>
      </c>
      <c r="AF447" s="29" t="s">
        <v>5</v>
      </c>
      <c r="AG447" s="29" t="s">
        <v>5</v>
      </c>
      <c r="AH447" s="2" t="s">
        <v>5</v>
      </c>
      <c r="AI447" s="2" t="s">
        <v>5</v>
      </c>
      <c r="AJ447" s="2" t="s">
        <v>5</v>
      </c>
      <c r="AK447" s="2" t="s">
        <v>5</v>
      </c>
    </row>
    <row r="448" spans="3:37" ht="12.5">
      <c r="C448" s="2" t="str">
        <f ca="1"/>
        <v/>
      </c>
      <c r="D448" s="2" t="str">
        <v/>
      </c>
      <c r="E448" s="29" t="str">
        <v/>
      </c>
      <c r="F448" s="30" t="str">
        <v/>
      </c>
      <c r="G448" s="29" t="str">
        <v/>
      </c>
      <c r="H448" s="30" t="str">
        <v/>
      </c>
      <c r="I448" s="29" t="str">
        <v/>
      </c>
      <c r="J448" s="29" t="str">
        <v/>
      </c>
      <c r="K448" s="29" t="str">
        <v/>
      </c>
      <c r="L448" s="29" t="str">
        <v/>
      </c>
      <c r="M448" s="29" t="str">
        <v/>
      </c>
      <c r="N448" s="29" t="str">
        <v/>
      </c>
      <c r="O448" s="2" t="str">
        <f ca="1"/>
        <v/>
      </c>
      <c r="P448" s="2" t="str">
        <f ca="1"/>
        <v/>
      </c>
      <c r="Q448" s="2" t="s">
        <v>5</v>
      </c>
      <c r="R448" s="2" t="s">
        <v>5</v>
      </c>
      <c r="U448" s="2"/>
      <c r="V448" s="2" t="s">
        <v>5</v>
      </c>
      <c r="W448" s="2" t="s">
        <v>5</v>
      </c>
      <c r="X448" s="29" t="s">
        <v>5</v>
      </c>
      <c r="Y448" s="30" t="s">
        <v>5</v>
      </c>
      <c r="Z448" s="29" t="s">
        <v>5</v>
      </c>
      <c r="AA448" s="30" t="s">
        <v>5</v>
      </c>
      <c r="AB448" s="29" t="s">
        <v>5</v>
      </c>
      <c r="AC448" s="29" t="s">
        <v>5</v>
      </c>
      <c r="AD448" s="29" t="s">
        <v>5</v>
      </c>
      <c r="AE448" s="29" t="s">
        <v>5</v>
      </c>
      <c r="AF448" s="29" t="s">
        <v>5</v>
      </c>
      <c r="AG448" s="29" t="s">
        <v>5</v>
      </c>
      <c r="AH448" s="2" t="s">
        <v>5</v>
      </c>
      <c r="AI448" s="2" t="s">
        <v>5</v>
      </c>
      <c r="AJ448" s="2" t="s">
        <v>5</v>
      </c>
      <c r="AK448" s="2" t="s">
        <v>5</v>
      </c>
    </row>
    <row r="449" spans="3:37" ht="12.5">
      <c r="C449" s="2" t="str">
        <f ca="1"/>
        <v/>
      </c>
      <c r="D449" s="2" t="str">
        <v/>
      </c>
      <c r="E449" s="29" t="str">
        <v/>
      </c>
      <c r="F449" s="30" t="str">
        <v/>
      </c>
      <c r="G449" s="29" t="str">
        <v/>
      </c>
      <c r="H449" s="30" t="str">
        <v/>
      </c>
      <c r="I449" s="29" t="str">
        <v/>
      </c>
      <c r="J449" s="29" t="str">
        <v/>
      </c>
      <c r="K449" s="29" t="str">
        <v/>
      </c>
      <c r="L449" s="29" t="str">
        <v/>
      </c>
      <c r="M449" s="29" t="str">
        <v/>
      </c>
      <c r="N449" s="29" t="str">
        <v/>
      </c>
      <c r="O449" s="2" t="str">
        <f ca="1"/>
        <v/>
      </c>
      <c r="P449" s="2" t="str">
        <f ca="1"/>
        <v/>
      </c>
      <c r="Q449" s="2" t="s">
        <v>5</v>
      </c>
      <c r="R449" s="2" t="s">
        <v>5</v>
      </c>
      <c r="U449" s="2"/>
      <c r="V449" s="2" t="s">
        <v>5</v>
      </c>
      <c r="W449" s="2" t="s">
        <v>5</v>
      </c>
      <c r="X449" s="29" t="s">
        <v>5</v>
      </c>
      <c r="Y449" s="30" t="s">
        <v>5</v>
      </c>
      <c r="Z449" s="29" t="s">
        <v>5</v>
      </c>
      <c r="AA449" s="30" t="s">
        <v>5</v>
      </c>
      <c r="AB449" s="29" t="s">
        <v>5</v>
      </c>
      <c r="AC449" s="29" t="s">
        <v>5</v>
      </c>
      <c r="AD449" s="29" t="s">
        <v>5</v>
      </c>
      <c r="AE449" s="29" t="s">
        <v>5</v>
      </c>
      <c r="AF449" s="29" t="s">
        <v>5</v>
      </c>
      <c r="AG449" s="29" t="s">
        <v>5</v>
      </c>
      <c r="AH449" s="2" t="s">
        <v>5</v>
      </c>
      <c r="AI449" s="2" t="s">
        <v>5</v>
      </c>
      <c r="AJ449" s="2" t="s">
        <v>5</v>
      </c>
      <c r="AK449" s="2" t="s">
        <v>5</v>
      </c>
    </row>
    <row r="450" spans="3:37" ht="12.5">
      <c r="C450" s="2" t="str">
        <f ca="1"/>
        <v/>
      </c>
      <c r="D450" s="2" t="str">
        <v/>
      </c>
      <c r="E450" s="29" t="str">
        <v/>
      </c>
      <c r="F450" s="30" t="str">
        <v/>
      </c>
      <c r="G450" s="29" t="str">
        <v/>
      </c>
      <c r="H450" s="30" t="str">
        <v/>
      </c>
      <c r="I450" s="29" t="str">
        <v/>
      </c>
      <c r="J450" s="29" t="str">
        <v/>
      </c>
      <c r="K450" s="29" t="str">
        <v/>
      </c>
      <c r="L450" s="29" t="str">
        <v/>
      </c>
      <c r="M450" s="29" t="str">
        <v/>
      </c>
      <c r="N450" s="29" t="str">
        <v/>
      </c>
      <c r="O450" s="2" t="str">
        <f ca="1"/>
        <v/>
      </c>
      <c r="P450" s="2" t="str">
        <f ca="1"/>
        <v/>
      </c>
      <c r="Q450" s="2" t="s">
        <v>5</v>
      </c>
      <c r="R450" s="2" t="s">
        <v>5</v>
      </c>
      <c r="U450" s="2"/>
      <c r="V450" s="2" t="s">
        <v>5</v>
      </c>
      <c r="W450" s="2" t="s">
        <v>5</v>
      </c>
      <c r="X450" s="29" t="s">
        <v>5</v>
      </c>
      <c r="Y450" s="30" t="s">
        <v>5</v>
      </c>
      <c r="Z450" s="29" t="s">
        <v>5</v>
      </c>
      <c r="AA450" s="30" t="s">
        <v>5</v>
      </c>
      <c r="AB450" s="29" t="s">
        <v>5</v>
      </c>
      <c r="AC450" s="29" t="s">
        <v>5</v>
      </c>
      <c r="AD450" s="29" t="s">
        <v>5</v>
      </c>
      <c r="AE450" s="29" t="s">
        <v>5</v>
      </c>
      <c r="AF450" s="29" t="s">
        <v>5</v>
      </c>
      <c r="AG450" s="29" t="s">
        <v>5</v>
      </c>
      <c r="AH450" s="2" t="s">
        <v>5</v>
      </c>
      <c r="AI450" s="2" t="s">
        <v>5</v>
      </c>
      <c r="AJ450" s="2" t="s">
        <v>5</v>
      </c>
      <c r="AK450" s="2" t="s">
        <v>5</v>
      </c>
    </row>
    <row r="451" spans="3:37" ht="12.5">
      <c r="C451" s="2" t="str">
        <f ca="1"/>
        <v/>
      </c>
      <c r="D451" s="2" t="str">
        <v/>
      </c>
      <c r="E451" s="29" t="str">
        <v/>
      </c>
      <c r="F451" s="30" t="str">
        <v/>
      </c>
      <c r="G451" s="29" t="str">
        <v/>
      </c>
      <c r="H451" s="30" t="str">
        <v/>
      </c>
      <c r="I451" s="29" t="str">
        <v/>
      </c>
      <c r="J451" s="29" t="str">
        <v/>
      </c>
      <c r="K451" s="29" t="str">
        <v/>
      </c>
      <c r="L451" s="29" t="str">
        <v/>
      </c>
      <c r="M451" s="29" t="str">
        <v/>
      </c>
      <c r="N451" s="29" t="str">
        <v/>
      </c>
      <c r="O451" s="2" t="str">
        <f ca="1"/>
        <v/>
      </c>
      <c r="P451" s="2" t="str">
        <f ca="1"/>
        <v/>
      </c>
      <c r="Q451" s="2" t="s">
        <v>5</v>
      </c>
      <c r="R451" s="2" t="s">
        <v>5</v>
      </c>
      <c r="U451" s="2"/>
      <c r="V451" s="2" t="s">
        <v>5</v>
      </c>
      <c r="W451" s="2" t="s">
        <v>5</v>
      </c>
      <c r="X451" s="29" t="s">
        <v>5</v>
      </c>
      <c r="Y451" s="30" t="s">
        <v>5</v>
      </c>
      <c r="Z451" s="29" t="s">
        <v>5</v>
      </c>
      <c r="AA451" s="30" t="s">
        <v>5</v>
      </c>
      <c r="AB451" s="29" t="s">
        <v>5</v>
      </c>
      <c r="AC451" s="29" t="s">
        <v>5</v>
      </c>
      <c r="AD451" s="29" t="s">
        <v>5</v>
      </c>
      <c r="AE451" s="29" t="s">
        <v>5</v>
      </c>
      <c r="AF451" s="29" t="s">
        <v>5</v>
      </c>
      <c r="AG451" s="29" t="s">
        <v>5</v>
      </c>
      <c r="AH451" s="2" t="s">
        <v>5</v>
      </c>
      <c r="AI451" s="2" t="s">
        <v>5</v>
      </c>
      <c r="AJ451" s="2" t="s">
        <v>5</v>
      </c>
      <c r="AK451" s="2" t="s">
        <v>5</v>
      </c>
    </row>
    <row r="452" spans="3:37" ht="12.5">
      <c r="C452" s="2" t="str">
        <f ca="1"/>
        <v/>
      </c>
      <c r="D452" s="2" t="str">
        <v/>
      </c>
      <c r="E452" s="29" t="str">
        <v/>
      </c>
      <c r="F452" s="30" t="str">
        <v/>
      </c>
      <c r="G452" s="29" t="str">
        <v/>
      </c>
      <c r="H452" s="30" t="str">
        <v/>
      </c>
      <c r="I452" s="29" t="str">
        <v/>
      </c>
      <c r="J452" s="29" t="str">
        <v/>
      </c>
      <c r="K452" s="29" t="str">
        <v/>
      </c>
      <c r="L452" s="29" t="str">
        <v/>
      </c>
      <c r="M452" s="29" t="str">
        <v/>
      </c>
      <c r="N452" s="29" t="str">
        <v/>
      </c>
      <c r="O452" s="2" t="str">
        <f ca="1"/>
        <v/>
      </c>
      <c r="P452" s="2" t="str">
        <f ca="1"/>
        <v/>
      </c>
      <c r="Q452" s="2" t="s">
        <v>5</v>
      </c>
      <c r="R452" s="2" t="s">
        <v>5</v>
      </c>
      <c r="U452" s="2"/>
      <c r="V452" s="2" t="s">
        <v>5</v>
      </c>
      <c r="W452" s="2" t="s">
        <v>5</v>
      </c>
      <c r="X452" s="29" t="s">
        <v>5</v>
      </c>
      <c r="Y452" s="30" t="s">
        <v>5</v>
      </c>
      <c r="Z452" s="29" t="s">
        <v>5</v>
      </c>
      <c r="AA452" s="30" t="s">
        <v>5</v>
      </c>
      <c r="AB452" s="29" t="s">
        <v>5</v>
      </c>
      <c r="AC452" s="29" t="s">
        <v>5</v>
      </c>
      <c r="AD452" s="29" t="s">
        <v>5</v>
      </c>
      <c r="AE452" s="29" t="s">
        <v>5</v>
      </c>
      <c r="AF452" s="29" t="s">
        <v>5</v>
      </c>
      <c r="AG452" s="29" t="s">
        <v>5</v>
      </c>
      <c r="AH452" s="2" t="s">
        <v>5</v>
      </c>
      <c r="AI452" s="2" t="s">
        <v>5</v>
      </c>
      <c r="AJ452" s="2" t="s">
        <v>5</v>
      </c>
      <c r="AK452" s="2" t="s">
        <v>5</v>
      </c>
    </row>
    <row r="453" spans="3:37" ht="12.5">
      <c r="C453" s="2" t="str">
        <f ca="1"/>
        <v/>
      </c>
      <c r="D453" s="2" t="str">
        <v/>
      </c>
      <c r="E453" s="29" t="str">
        <v/>
      </c>
      <c r="F453" s="30" t="str">
        <v/>
      </c>
      <c r="G453" s="29" t="str">
        <v/>
      </c>
      <c r="H453" s="30" t="str">
        <v/>
      </c>
      <c r="I453" s="29" t="str">
        <v/>
      </c>
      <c r="J453" s="29" t="str">
        <v/>
      </c>
      <c r="K453" s="29" t="str">
        <v/>
      </c>
      <c r="L453" s="29" t="str">
        <v/>
      </c>
      <c r="M453" s="29" t="str">
        <v/>
      </c>
      <c r="N453" s="29" t="str">
        <v/>
      </c>
      <c r="O453" s="2" t="str">
        <f ca="1"/>
        <v/>
      </c>
      <c r="P453" s="2" t="str">
        <f ca="1"/>
        <v/>
      </c>
      <c r="Q453" s="2" t="s">
        <v>5</v>
      </c>
      <c r="R453" s="2" t="s">
        <v>5</v>
      </c>
      <c r="U453" s="2"/>
      <c r="V453" s="2" t="s">
        <v>5</v>
      </c>
      <c r="W453" s="2" t="s">
        <v>5</v>
      </c>
      <c r="X453" s="29" t="s">
        <v>5</v>
      </c>
      <c r="Y453" s="30" t="s">
        <v>5</v>
      </c>
      <c r="Z453" s="29" t="s">
        <v>5</v>
      </c>
      <c r="AA453" s="30" t="s">
        <v>5</v>
      </c>
      <c r="AB453" s="29" t="s">
        <v>5</v>
      </c>
      <c r="AC453" s="29" t="s">
        <v>5</v>
      </c>
      <c r="AD453" s="29" t="s">
        <v>5</v>
      </c>
      <c r="AE453" s="29" t="s">
        <v>5</v>
      </c>
      <c r="AF453" s="29" t="s">
        <v>5</v>
      </c>
      <c r="AG453" s="29" t="s">
        <v>5</v>
      </c>
      <c r="AH453" s="2" t="s">
        <v>5</v>
      </c>
      <c r="AI453" s="2" t="s">
        <v>5</v>
      </c>
      <c r="AJ453" s="2" t="s">
        <v>5</v>
      </c>
      <c r="AK453" s="2" t="s">
        <v>5</v>
      </c>
    </row>
    <row r="454" spans="3:37" ht="12.5">
      <c r="C454" s="2" t="str">
        <f ca="1"/>
        <v/>
      </c>
      <c r="D454" s="2" t="str">
        <v/>
      </c>
      <c r="E454" s="29" t="str">
        <v/>
      </c>
      <c r="F454" s="30" t="str">
        <v/>
      </c>
      <c r="G454" s="29" t="str">
        <v/>
      </c>
      <c r="H454" s="30" t="str">
        <v/>
      </c>
      <c r="I454" s="29" t="str">
        <v/>
      </c>
      <c r="J454" s="29" t="str">
        <v/>
      </c>
      <c r="K454" s="29" t="str">
        <v/>
      </c>
      <c r="L454" s="29" t="str">
        <v/>
      </c>
      <c r="M454" s="29" t="str">
        <v/>
      </c>
      <c r="N454" s="29" t="str">
        <v/>
      </c>
      <c r="O454" s="2" t="str">
        <f ca="1"/>
        <v/>
      </c>
      <c r="P454" s="2" t="str">
        <f ca="1"/>
        <v/>
      </c>
      <c r="Q454" s="2" t="s">
        <v>5</v>
      </c>
      <c r="R454" s="2" t="s">
        <v>5</v>
      </c>
      <c r="U454" s="2"/>
      <c r="V454" s="2" t="s">
        <v>5</v>
      </c>
      <c r="W454" s="2" t="s">
        <v>5</v>
      </c>
      <c r="X454" s="29" t="s">
        <v>5</v>
      </c>
      <c r="Y454" s="30" t="s">
        <v>5</v>
      </c>
      <c r="Z454" s="29" t="s">
        <v>5</v>
      </c>
      <c r="AA454" s="30" t="s">
        <v>5</v>
      </c>
      <c r="AB454" s="29" t="s">
        <v>5</v>
      </c>
      <c r="AC454" s="29" t="s">
        <v>5</v>
      </c>
      <c r="AD454" s="29" t="s">
        <v>5</v>
      </c>
      <c r="AE454" s="29" t="s">
        <v>5</v>
      </c>
      <c r="AF454" s="29" t="s">
        <v>5</v>
      </c>
      <c r="AG454" s="29" t="s">
        <v>5</v>
      </c>
      <c r="AH454" s="2" t="s">
        <v>5</v>
      </c>
      <c r="AI454" s="2" t="s">
        <v>5</v>
      </c>
      <c r="AJ454" s="2" t="s">
        <v>5</v>
      </c>
      <c r="AK454" s="2" t="s">
        <v>5</v>
      </c>
    </row>
    <row r="455" spans="3:37" ht="12.5">
      <c r="C455" s="2" t="str">
        <f ca="1"/>
        <v/>
      </c>
      <c r="D455" s="2" t="str">
        <v/>
      </c>
      <c r="E455" s="29" t="str">
        <v/>
      </c>
      <c r="F455" s="30" t="str">
        <v/>
      </c>
      <c r="G455" s="29" t="str">
        <v/>
      </c>
      <c r="H455" s="30" t="str">
        <v/>
      </c>
      <c r="I455" s="29" t="str">
        <v/>
      </c>
      <c r="J455" s="29" t="str">
        <v/>
      </c>
      <c r="K455" s="29" t="str">
        <v/>
      </c>
      <c r="L455" s="29" t="str">
        <v/>
      </c>
      <c r="M455" s="29" t="str">
        <v/>
      </c>
      <c r="N455" s="29" t="str">
        <v/>
      </c>
      <c r="O455" s="2" t="str">
        <f ca="1"/>
        <v/>
      </c>
      <c r="P455" s="2" t="str">
        <f ca="1"/>
        <v/>
      </c>
      <c r="Q455" s="2" t="s">
        <v>5</v>
      </c>
      <c r="R455" s="2" t="s">
        <v>5</v>
      </c>
      <c r="U455" s="2"/>
      <c r="V455" s="2" t="s">
        <v>5</v>
      </c>
      <c r="W455" s="2" t="s">
        <v>5</v>
      </c>
      <c r="X455" s="29" t="s">
        <v>5</v>
      </c>
      <c r="Y455" s="30" t="s">
        <v>5</v>
      </c>
      <c r="Z455" s="29" t="s">
        <v>5</v>
      </c>
      <c r="AA455" s="30" t="s">
        <v>5</v>
      </c>
      <c r="AB455" s="29" t="s">
        <v>5</v>
      </c>
      <c r="AC455" s="29" t="s">
        <v>5</v>
      </c>
      <c r="AD455" s="29" t="s">
        <v>5</v>
      </c>
      <c r="AE455" s="29" t="s">
        <v>5</v>
      </c>
      <c r="AF455" s="29" t="s">
        <v>5</v>
      </c>
      <c r="AG455" s="29" t="s">
        <v>5</v>
      </c>
      <c r="AH455" s="2" t="s">
        <v>5</v>
      </c>
      <c r="AI455" s="2" t="s">
        <v>5</v>
      </c>
      <c r="AJ455" s="2" t="s">
        <v>5</v>
      </c>
      <c r="AK455" s="2" t="s">
        <v>5</v>
      </c>
    </row>
    <row r="456" spans="3:37" ht="12.5">
      <c r="C456" s="2" t="str">
        <f ca="1"/>
        <v/>
      </c>
      <c r="D456" s="2" t="str">
        <v/>
      </c>
      <c r="E456" s="29" t="str">
        <v/>
      </c>
      <c r="F456" s="30" t="str">
        <v/>
      </c>
      <c r="G456" s="29" t="str">
        <v/>
      </c>
      <c r="H456" s="30" t="str">
        <v/>
      </c>
      <c r="I456" s="29" t="str">
        <v/>
      </c>
      <c r="J456" s="29" t="str">
        <v/>
      </c>
      <c r="K456" s="29" t="str">
        <v/>
      </c>
      <c r="L456" s="29" t="str">
        <v/>
      </c>
      <c r="M456" s="29" t="str">
        <v/>
      </c>
      <c r="N456" s="29" t="str">
        <v/>
      </c>
      <c r="O456" s="2" t="str">
        <f ca="1"/>
        <v/>
      </c>
      <c r="P456" s="2" t="str">
        <f ca="1"/>
        <v/>
      </c>
      <c r="Q456" s="2" t="s">
        <v>5</v>
      </c>
      <c r="R456" s="2" t="s">
        <v>5</v>
      </c>
      <c r="U456" s="2"/>
      <c r="V456" s="2" t="s">
        <v>5</v>
      </c>
      <c r="W456" s="2" t="s">
        <v>5</v>
      </c>
      <c r="X456" s="29" t="s">
        <v>5</v>
      </c>
      <c r="Y456" s="30" t="s">
        <v>5</v>
      </c>
      <c r="Z456" s="29" t="s">
        <v>5</v>
      </c>
      <c r="AA456" s="30" t="s">
        <v>5</v>
      </c>
      <c r="AB456" s="29" t="s">
        <v>5</v>
      </c>
      <c r="AC456" s="29" t="s">
        <v>5</v>
      </c>
      <c r="AD456" s="29" t="s">
        <v>5</v>
      </c>
      <c r="AE456" s="29" t="s">
        <v>5</v>
      </c>
      <c r="AF456" s="29" t="s">
        <v>5</v>
      </c>
      <c r="AG456" s="29" t="s">
        <v>5</v>
      </c>
      <c r="AH456" s="2" t="s">
        <v>5</v>
      </c>
      <c r="AI456" s="2" t="s">
        <v>5</v>
      </c>
      <c r="AJ456" s="2" t="s">
        <v>5</v>
      </c>
      <c r="AK456" s="2" t="s">
        <v>5</v>
      </c>
    </row>
    <row r="457" spans="3:37" ht="12.5">
      <c r="C457" s="2" t="str">
        <f ca="1"/>
        <v/>
      </c>
      <c r="D457" s="2" t="str">
        <v/>
      </c>
      <c r="E457" s="29" t="str">
        <v/>
      </c>
      <c r="F457" s="30" t="str">
        <v/>
      </c>
      <c r="G457" s="29" t="str">
        <v/>
      </c>
      <c r="H457" s="30" t="str">
        <v/>
      </c>
      <c r="I457" s="29" t="str">
        <v/>
      </c>
      <c r="J457" s="29" t="str">
        <v/>
      </c>
      <c r="K457" s="29" t="str">
        <v/>
      </c>
      <c r="L457" s="29" t="str">
        <v/>
      </c>
      <c r="M457" s="29" t="str">
        <v/>
      </c>
      <c r="N457" s="29" t="str">
        <v/>
      </c>
      <c r="O457" s="2" t="str">
        <f ca="1"/>
        <v/>
      </c>
      <c r="P457" s="2" t="str">
        <f ca="1"/>
        <v/>
      </c>
      <c r="Q457" s="2" t="s">
        <v>5</v>
      </c>
      <c r="R457" s="2" t="s">
        <v>5</v>
      </c>
      <c r="U457" s="2"/>
      <c r="V457" s="2" t="s">
        <v>5</v>
      </c>
      <c r="W457" s="2" t="s">
        <v>5</v>
      </c>
      <c r="X457" s="29" t="s">
        <v>5</v>
      </c>
      <c r="Y457" s="30" t="s">
        <v>5</v>
      </c>
      <c r="Z457" s="29" t="s">
        <v>5</v>
      </c>
      <c r="AA457" s="30" t="s">
        <v>5</v>
      </c>
      <c r="AB457" s="29" t="s">
        <v>5</v>
      </c>
      <c r="AC457" s="29" t="s">
        <v>5</v>
      </c>
      <c r="AD457" s="29" t="s">
        <v>5</v>
      </c>
      <c r="AE457" s="29" t="s">
        <v>5</v>
      </c>
      <c r="AF457" s="29" t="s">
        <v>5</v>
      </c>
      <c r="AG457" s="29" t="s">
        <v>5</v>
      </c>
      <c r="AH457" s="2" t="s">
        <v>5</v>
      </c>
      <c r="AI457" s="2" t="s">
        <v>5</v>
      </c>
      <c r="AJ457" s="2" t="s">
        <v>5</v>
      </c>
      <c r="AK457" s="2" t="s">
        <v>5</v>
      </c>
    </row>
    <row r="458" spans="3:37" ht="12.5">
      <c r="C458" s="2" t="str">
        <f ca="1"/>
        <v/>
      </c>
      <c r="D458" s="2" t="str">
        <v/>
      </c>
      <c r="E458" s="29" t="str">
        <v/>
      </c>
      <c r="F458" s="30" t="str">
        <v/>
      </c>
      <c r="G458" s="29" t="str">
        <v/>
      </c>
      <c r="H458" s="30" t="str">
        <v/>
      </c>
      <c r="I458" s="29" t="str">
        <v/>
      </c>
      <c r="J458" s="29" t="str">
        <v/>
      </c>
      <c r="K458" s="29" t="str">
        <v/>
      </c>
      <c r="L458" s="29" t="str">
        <v/>
      </c>
      <c r="M458" s="29" t="str">
        <v/>
      </c>
      <c r="N458" s="29" t="str">
        <v/>
      </c>
      <c r="O458" s="2" t="str">
        <f ca="1"/>
        <v/>
      </c>
      <c r="P458" s="2" t="str">
        <f ca="1"/>
        <v/>
      </c>
      <c r="Q458" s="2" t="s">
        <v>5</v>
      </c>
      <c r="R458" s="2" t="s">
        <v>5</v>
      </c>
      <c r="U458" s="2"/>
      <c r="V458" s="2" t="s">
        <v>5</v>
      </c>
      <c r="W458" s="2" t="s">
        <v>5</v>
      </c>
      <c r="X458" s="29" t="s">
        <v>5</v>
      </c>
      <c r="Y458" s="30" t="s">
        <v>5</v>
      </c>
      <c r="Z458" s="29" t="s">
        <v>5</v>
      </c>
      <c r="AA458" s="30" t="s">
        <v>5</v>
      </c>
      <c r="AB458" s="29" t="s">
        <v>5</v>
      </c>
      <c r="AC458" s="29" t="s">
        <v>5</v>
      </c>
      <c r="AD458" s="29" t="s">
        <v>5</v>
      </c>
      <c r="AE458" s="29" t="s">
        <v>5</v>
      </c>
      <c r="AF458" s="29" t="s">
        <v>5</v>
      </c>
      <c r="AG458" s="29" t="s">
        <v>5</v>
      </c>
      <c r="AH458" s="2" t="s">
        <v>5</v>
      </c>
      <c r="AI458" s="2" t="s">
        <v>5</v>
      </c>
      <c r="AJ458" s="2" t="s">
        <v>5</v>
      </c>
      <c r="AK458" s="2" t="s">
        <v>5</v>
      </c>
    </row>
    <row r="459" spans="3:37" ht="12.5">
      <c r="C459" s="2" t="str">
        <f ca="1"/>
        <v/>
      </c>
      <c r="D459" s="2" t="str">
        <v/>
      </c>
      <c r="E459" s="29" t="str">
        <v/>
      </c>
      <c r="F459" s="30" t="str">
        <v/>
      </c>
      <c r="G459" s="29" t="str">
        <v/>
      </c>
      <c r="H459" s="30" t="str">
        <v/>
      </c>
      <c r="I459" s="29" t="str">
        <v/>
      </c>
      <c r="J459" s="29" t="str">
        <v/>
      </c>
      <c r="K459" s="29" t="str">
        <v/>
      </c>
      <c r="L459" s="29" t="str">
        <v/>
      </c>
      <c r="M459" s="29" t="str">
        <v/>
      </c>
      <c r="N459" s="29" t="str">
        <v/>
      </c>
      <c r="O459" s="2" t="str">
        <f ca="1"/>
        <v/>
      </c>
      <c r="P459" s="2" t="str">
        <f ca="1"/>
        <v/>
      </c>
      <c r="Q459" s="2" t="s">
        <v>5</v>
      </c>
      <c r="R459" s="2" t="s">
        <v>5</v>
      </c>
      <c r="U459" s="2"/>
      <c r="V459" s="2" t="s">
        <v>5</v>
      </c>
      <c r="W459" s="2" t="s">
        <v>5</v>
      </c>
      <c r="X459" s="29" t="s">
        <v>5</v>
      </c>
      <c r="Y459" s="30" t="s">
        <v>5</v>
      </c>
      <c r="Z459" s="29" t="s">
        <v>5</v>
      </c>
      <c r="AA459" s="30" t="s">
        <v>5</v>
      </c>
      <c r="AB459" s="29" t="s">
        <v>5</v>
      </c>
      <c r="AC459" s="29" t="s">
        <v>5</v>
      </c>
      <c r="AD459" s="29" t="s">
        <v>5</v>
      </c>
      <c r="AE459" s="29" t="s">
        <v>5</v>
      </c>
      <c r="AF459" s="29" t="s">
        <v>5</v>
      </c>
      <c r="AG459" s="29" t="s">
        <v>5</v>
      </c>
      <c r="AH459" s="2" t="s">
        <v>5</v>
      </c>
      <c r="AI459" s="2" t="s">
        <v>5</v>
      </c>
      <c r="AJ459" s="2" t="s">
        <v>5</v>
      </c>
      <c r="AK459" s="2" t="s">
        <v>5</v>
      </c>
    </row>
    <row r="460" spans="3:37" ht="12.5">
      <c r="C460" s="2" t="str">
        <f ca="1"/>
        <v/>
      </c>
      <c r="D460" s="2" t="str">
        <v/>
      </c>
      <c r="E460" s="29" t="str">
        <v/>
      </c>
      <c r="F460" s="30" t="str">
        <v/>
      </c>
      <c r="G460" s="29" t="str">
        <v/>
      </c>
      <c r="H460" s="30" t="str">
        <v/>
      </c>
      <c r="I460" s="29" t="str">
        <v/>
      </c>
      <c r="J460" s="29" t="str">
        <v/>
      </c>
      <c r="K460" s="29" t="str">
        <v/>
      </c>
      <c r="L460" s="29" t="str">
        <v/>
      </c>
      <c r="M460" s="29" t="str">
        <v/>
      </c>
      <c r="N460" s="29" t="str">
        <v/>
      </c>
      <c r="O460" s="2" t="str">
        <f ca="1"/>
        <v/>
      </c>
      <c r="P460" s="2" t="str">
        <f ca="1"/>
        <v/>
      </c>
      <c r="Q460" s="2" t="s">
        <v>5</v>
      </c>
      <c r="R460" s="2" t="s">
        <v>5</v>
      </c>
      <c r="U460" s="2"/>
      <c r="V460" s="2" t="s">
        <v>5</v>
      </c>
      <c r="W460" s="2" t="s">
        <v>5</v>
      </c>
      <c r="X460" s="29" t="s">
        <v>5</v>
      </c>
      <c r="Y460" s="30" t="s">
        <v>5</v>
      </c>
      <c r="Z460" s="29" t="s">
        <v>5</v>
      </c>
      <c r="AA460" s="30" t="s">
        <v>5</v>
      </c>
      <c r="AB460" s="29" t="s">
        <v>5</v>
      </c>
      <c r="AC460" s="29" t="s">
        <v>5</v>
      </c>
      <c r="AD460" s="29" t="s">
        <v>5</v>
      </c>
      <c r="AE460" s="29" t="s">
        <v>5</v>
      </c>
      <c r="AF460" s="29" t="s">
        <v>5</v>
      </c>
      <c r="AG460" s="29" t="s">
        <v>5</v>
      </c>
      <c r="AH460" s="2" t="s">
        <v>5</v>
      </c>
      <c r="AI460" s="2" t="s">
        <v>5</v>
      </c>
      <c r="AJ460" s="2" t="s">
        <v>5</v>
      </c>
      <c r="AK460" s="2" t="s">
        <v>5</v>
      </c>
    </row>
    <row r="461" spans="3:37" ht="12.5">
      <c r="C461" s="2" t="str">
        <f ca="1"/>
        <v/>
      </c>
      <c r="D461" s="2" t="str">
        <v/>
      </c>
      <c r="E461" s="29" t="str">
        <v/>
      </c>
      <c r="F461" s="30" t="str">
        <v/>
      </c>
      <c r="G461" s="29" t="str">
        <v/>
      </c>
      <c r="H461" s="30" t="str">
        <v/>
      </c>
      <c r="I461" s="29" t="str">
        <v/>
      </c>
      <c r="J461" s="29" t="str">
        <v/>
      </c>
      <c r="K461" s="29" t="str">
        <v/>
      </c>
      <c r="L461" s="29" t="str">
        <v/>
      </c>
      <c r="M461" s="29" t="str">
        <v/>
      </c>
      <c r="N461" s="29" t="str">
        <v/>
      </c>
      <c r="O461" s="2" t="str">
        <f ca="1"/>
        <v/>
      </c>
      <c r="P461" s="2" t="str">
        <f ca="1"/>
        <v/>
      </c>
      <c r="Q461" s="2" t="s">
        <v>5</v>
      </c>
      <c r="R461" s="2" t="s">
        <v>5</v>
      </c>
      <c r="U461" s="2"/>
      <c r="V461" s="2" t="s">
        <v>5</v>
      </c>
      <c r="W461" s="2" t="s">
        <v>5</v>
      </c>
      <c r="X461" s="29" t="s">
        <v>5</v>
      </c>
      <c r="Y461" s="30" t="s">
        <v>5</v>
      </c>
      <c r="Z461" s="29" t="s">
        <v>5</v>
      </c>
      <c r="AA461" s="30" t="s">
        <v>5</v>
      </c>
      <c r="AB461" s="29" t="s">
        <v>5</v>
      </c>
      <c r="AC461" s="29" t="s">
        <v>5</v>
      </c>
      <c r="AD461" s="29" t="s">
        <v>5</v>
      </c>
      <c r="AE461" s="29" t="s">
        <v>5</v>
      </c>
      <c r="AF461" s="29" t="s">
        <v>5</v>
      </c>
      <c r="AG461" s="29" t="s">
        <v>5</v>
      </c>
      <c r="AH461" s="2" t="s">
        <v>5</v>
      </c>
      <c r="AI461" s="2" t="s">
        <v>5</v>
      </c>
      <c r="AJ461" s="2" t="s">
        <v>5</v>
      </c>
      <c r="AK461" s="2" t="s">
        <v>5</v>
      </c>
    </row>
    <row r="462" spans="3:37" ht="12.5">
      <c r="C462" s="2" t="str">
        <f ca="1"/>
        <v/>
      </c>
      <c r="D462" s="2" t="str">
        <v/>
      </c>
      <c r="E462" s="29" t="str">
        <v/>
      </c>
      <c r="F462" s="30" t="str">
        <v/>
      </c>
      <c r="G462" s="29" t="str">
        <v/>
      </c>
      <c r="H462" s="30" t="str">
        <v/>
      </c>
      <c r="I462" s="29" t="str">
        <v/>
      </c>
      <c r="J462" s="29" t="str">
        <v/>
      </c>
      <c r="K462" s="29" t="str">
        <v/>
      </c>
      <c r="L462" s="29" t="str">
        <v/>
      </c>
      <c r="M462" s="29" t="str">
        <v/>
      </c>
      <c r="N462" s="29" t="str">
        <v/>
      </c>
      <c r="O462" s="2" t="str">
        <f ca="1"/>
        <v/>
      </c>
      <c r="P462" s="2" t="str">
        <f ca="1"/>
        <v/>
      </c>
      <c r="Q462" s="2" t="s">
        <v>5</v>
      </c>
      <c r="R462" s="2" t="s">
        <v>5</v>
      </c>
      <c r="U462" s="2"/>
      <c r="V462" s="2" t="s">
        <v>5</v>
      </c>
      <c r="W462" s="2" t="s">
        <v>5</v>
      </c>
      <c r="X462" s="29" t="s">
        <v>5</v>
      </c>
      <c r="Y462" s="30" t="s">
        <v>5</v>
      </c>
      <c r="Z462" s="29" t="s">
        <v>5</v>
      </c>
      <c r="AA462" s="30" t="s">
        <v>5</v>
      </c>
      <c r="AB462" s="29" t="s">
        <v>5</v>
      </c>
      <c r="AC462" s="29" t="s">
        <v>5</v>
      </c>
      <c r="AD462" s="29" t="s">
        <v>5</v>
      </c>
      <c r="AE462" s="29" t="s">
        <v>5</v>
      </c>
      <c r="AF462" s="29" t="s">
        <v>5</v>
      </c>
      <c r="AG462" s="29" t="s">
        <v>5</v>
      </c>
      <c r="AH462" s="2" t="s">
        <v>5</v>
      </c>
      <c r="AI462" s="2" t="s">
        <v>5</v>
      </c>
      <c r="AJ462" s="2" t="s">
        <v>5</v>
      </c>
      <c r="AK462" s="2" t="s">
        <v>5</v>
      </c>
    </row>
    <row r="463" spans="3:37" ht="12.5">
      <c r="C463" s="2" t="str">
        <f ca="1"/>
        <v/>
      </c>
      <c r="D463" s="2" t="str">
        <v/>
      </c>
      <c r="E463" s="29" t="str">
        <v/>
      </c>
      <c r="F463" s="30" t="str">
        <v/>
      </c>
      <c r="G463" s="29" t="str">
        <v/>
      </c>
      <c r="H463" s="30" t="str">
        <v/>
      </c>
      <c r="I463" s="29" t="str">
        <v/>
      </c>
      <c r="J463" s="29" t="str">
        <v/>
      </c>
      <c r="K463" s="29" t="str">
        <v/>
      </c>
      <c r="L463" s="29" t="str">
        <v/>
      </c>
      <c r="M463" s="29" t="str">
        <v/>
      </c>
      <c r="N463" s="29" t="str">
        <v/>
      </c>
      <c r="O463" s="2" t="str">
        <f ca="1"/>
        <v/>
      </c>
      <c r="P463" s="2" t="str">
        <f ca="1"/>
        <v/>
      </c>
      <c r="Q463" s="2" t="s">
        <v>5</v>
      </c>
      <c r="R463" s="2" t="s">
        <v>5</v>
      </c>
      <c r="U463" s="2"/>
      <c r="V463" s="2" t="s">
        <v>5</v>
      </c>
      <c r="W463" s="2" t="s">
        <v>5</v>
      </c>
      <c r="X463" s="29" t="s">
        <v>5</v>
      </c>
      <c r="Y463" s="30" t="s">
        <v>5</v>
      </c>
      <c r="Z463" s="29" t="s">
        <v>5</v>
      </c>
      <c r="AA463" s="30" t="s">
        <v>5</v>
      </c>
      <c r="AB463" s="29" t="s">
        <v>5</v>
      </c>
      <c r="AC463" s="29" t="s">
        <v>5</v>
      </c>
      <c r="AD463" s="29" t="s">
        <v>5</v>
      </c>
      <c r="AE463" s="29" t="s">
        <v>5</v>
      </c>
      <c r="AF463" s="29" t="s">
        <v>5</v>
      </c>
      <c r="AG463" s="29" t="s">
        <v>5</v>
      </c>
      <c r="AH463" s="2" t="s">
        <v>5</v>
      </c>
      <c r="AI463" s="2" t="s">
        <v>5</v>
      </c>
      <c r="AJ463" s="2" t="s">
        <v>5</v>
      </c>
      <c r="AK463" s="2" t="s">
        <v>5</v>
      </c>
    </row>
    <row r="464" spans="3:37" ht="12.5">
      <c r="C464" s="2" t="str">
        <f ca="1"/>
        <v/>
      </c>
      <c r="D464" s="2" t="str">
        <v/>
      </c>
      <c r="E464" s="29" t="str">
        <v/>
      </c>
      <c r="F464" s="30" t="str">
        <v/>
      </c>
      <c r="G464" s="29" t="str">
        <v/>
      </c>
      <c r="H464" s="30" t="str">
        <v/>
      </c>
      <c r="I464" s="29" t="str">
        <v/>
      </c>
      <c r="J464" s="29" t="str">
        <v/>
      </c>
      <c r="K464" s="29" t="str">
        <v/>
      </c>
      <c r="L464" s="29" t="str">
        <v/>
      </c>
      <c r="M464" s="29" t="str">
        <v/>
      </c>
      <c r="N464" s="29" t="str">
        <v/>
      </c>
      <c r="O464" s="2" t="str">
        <f ca="1"/>
        <v/>
      </c>
      <c r="P464" s="2" t="str">
        <f ca="1"/>
        <v/>
      </c>
      <c r="Q464" s="2" t="s">
        <v>5</v>
      </c>
      <c r="R464" s="2" t="s">
        <v>5</v>
      </c>
      <c r="U464" s="2"/>
      <c r="V464" s="2" t="s">
        <v>5</v>
      </c>
      <c r="W464" s="2" t="s">
        <v>5</v>
      </c>
      <c r="X464" s="29" t="s">
        <v>5</v>
      </c>
      <c r="Y464" s="30" t="s">
        <v>5</v>
      </c>
      <c r="Z464" s="29" t="s">
        <v>5</v>
      </c>
      <c r="AA464" s="30" t="s">
        <v>5</v>
      </c>
      <c r="AB464" s="29" t="s">
        <v>5</v>
      </c>
      <c r="AC464" s="29" t="s">
        <v>5</v>
      </c>
      <c r="AD464" s="29" t="s">
        <v>5</v>
      </c>
      <c r="AE464" s="29" t="s">
        <v>5</v>
      </c>
      <c r="AF464" s="29" t="s">
        <v>5</v>
      </c>
      <c r="AG464" s="29" t="s">
        <v>5</v>
      </c>
      <c r="AH464" s="2" t="s">
        <v>5</v>
      </c>
      <c r="AI464" s="2" t="s">
        <v>5</v>
      </c>
      <c r="AJ464" s="2" t="s">
        <v>5</v>
      </c>
      <c r="AK464" s="2" t="s">
        <v>5</v>
      </c>
    </row>
    <row r="465" spans="3:37" ht="12.5">
      <c r="C465" s="2" t="str">
        <f ca="1"/>
        <v/>
      </c>
      <c r="D465" s="2" t="str">
        <v/>
      </c>
      <c r="E465" s="29" t="str">
        <v/>
      </c>
      <c r="F465" s="30" t="str">
        <v/>
      </c>
      <c r="G465" s="29" t="str">
        <v/>
      </c>
      <c r="H465" s="30" t="str">
        <v/>
      </c>
      <c r="I465" s="29" t="str">
        <v/>
      </c>
      <c r="J465" s="29" t="str">
        <v/>
      </c>
      <c r="K465" s="29" t="str">
        <v/>
      </c>
      <c r="L465" s="29" t="str">
        <v/>
      </c>
      <c r="M465" s="29" t="str">
        <v/>
      </c>
      <c r="N465" s="29" t="str">
        <v/>
      </c>
      <c r="O465" s="2" t="str">
        <f ca="1"/>
        <v/>
      </c>
      <c r="P465" s="2" t="str">
        <f ca="1"/>
        <v/>
      </c>
      <c r="Q465" s="2" t="s">
        <v>5</v>
      </c>
      <c r="R465" s="2" t="s">
        <v>5</v>
      </c>
      <c r="U465" s="2"/>
      <c r="V465" s="2" t="s">
        <v>5</v>
      </c>
      <c r="W465" s="2" t="s">
        <v>5</v>
      </c>
      <c r="X465" s="29" t="s">
        <v>5</v>
      </c>
      <c r="Y465" s="30" t="s">
        <v>5</v>
      </c>
      <c r="Z465" s="29" t="s">
        <v>5</v>
      </c>
      <c r="AA465" s="30" t="s">
        <v>5</v>
      </c>
      <c r="AB465" s="29" t="s">
        <v>5</v>
      </c>
      <c r="AC465" s="29" t="s">
        <v>5</v>
      </c>
      <c r="AD465" s="29" t="s">
        <v>5</v>
      </c>
      <c r="AE465" s="29" t="s">
        <v>5</v>
      </c>
      <c r="AF465" s="29" t="s">
        <v>5</v>
      </c>
      <c r="AG465" s="29" t="s">
        <v>5</v>
      </c>
      <c r="AH465" s="2" t="s">
        <v>5</v>
      </c>
      <c r="AI465" s="2" t="s">
        <v>5</v>
      </c>
      <c r="AJ465" s="2" t="s">
        <v>5</v>
      </c>
      <c r="AK465" s="2" t="s">
        <v>5</v>
      </c>
    </row>
    <row r="466" spans="3:37" ht="12.5">
      <c r="C466" s="2" t="str">
        <f ca="1"/>
        <v/>
      </c>
      <c r="D466" s="2" t="str">
        <v/>
      </c>
      <c r="E466" s="29" t="str">
        <v/>
      </c>
      <c r="F466" s="30" t="str">
        <v/>
      </c>
      <c r="G466" s="29" t="str">
        <v/>
      </c>
      <c r="H466" s="30" t="str">
        <v/>
      </c>
      <c r="I466" s="29" t="str">
        <v/>
      </c>
      <c r="J466" s="29" t="str">
        <v/>
      </c>
      <c r="K466" s="29" t="str">
        <v/>
      </c>
      <c r="L466" s="29" t="str">
        <v/>
      </c>
      <c r="M466" s="29" t="str">
        <v/>
      </c>
      <c r="N466" s="29" t="str">
        <v/>
      </c>
      <c r="O466" s="2" t="str">
        <f ca="1"/>
        <v/>
      </c>
      <c r="P466" s="2" t="str">
        <f ca="1"/>
        <v/>
      </c>
      <c r="Q466" s="2" t="s">
        <v>5</v>
      </c>
      <c r="R466" s="2" t="s">
        <v>5</v>
      </c>
      <c r="U466" s="2"/>
      <c r="V466" s="2" t="s">
        <v>5</v>
      </c>
      <c r="W466" s="2" t="s">
        <v>5</v>
      </c>
      <c r="X466" s="29" t="s">
        <v>5</v>
      </c>
      <c r="Y466" s="30" t="s">
        <v>5</v>
      </c>
      <c r="Z466" s="29" t="s">
        <v>5</v>
      </c>
      <c r="AA466" s="30" t="s">
        <v>5</v>
      </c>
      <c r="AB466" s="29" t="s">
        <v>5</v>
      </c>
      <c r="AC466" s="29" t="s">
        <v>5</v>
      </c>
      <c r="AD466" s="29" t="s">
        <v>5</v>
      </c>
      <c r="AE466" s="29" t="s">
        <v>5</v>
      </c>
      <c r="AF466" s="29" t="s">
        <v>5</v>
      </c>
      <c r="AG466" s="29" t="s">
        <v>5</v>
      </c>
      <c r="AH466" s="2" t="s">
        <v>5</v>
      </c>
      <c r="AI466" s="2" t="s">
        <v>5</v>
      </c>
      <c r="AJ466" s="2" t="s">
        <v>5</v>
      </c>
      <c r="AK466" s="2" t="s">
        <v>5</v>
      </c>
    </row>
    <row r="467" spans="3:37" ht="12.5">
      <c r="C467" s="2" t="str">
        <f ca="1"/>
        <v/>
      </c>
      <c r="D467" s="2" t="str">
        <v/>
      </c>
      <c r="E467" s="29" t="str">
        <v/>
      </c>
      <c r="F467" s="30" t="str">
        <v/>
      </c>
      <c r="G467" s="29" t="str">
        <v/>
      </c>
      <c r="H467" s="30" t="str">
        <v/>
      </c>
      <c r="I467" s="29" t="str">
        <v/>
      </c>
      <c r="J467" s="29" t="str">
        <v/>
      </c>
      <c r="K467" s="29" t="str">
        <v/>
      </c>
      <c r="L467" s="29" t="str">
        <v/>
      </c>
      <c r="M467" s="29" t="str">
        <v/>
      </c>
      <c r="N467" s="29" t="str">
        <v/>
      </c>
      <c r="O467" s="2" t="str">
        <f ca="1"/>
        <v/>
      </c>
      <c r="P467" s="2" t="str">
        <f ca="1"/>
        <v/>
      </c>
      <c r="Q467" s="2" t="s">
        <v>5</v>
      </c>
      <c r="R467" s="2" t="s">
        <v>5</v>
      </c>
      <c r="U467" s="2"/>
      <c r="V467" s="2" t="s">
        <v>5</v>
      </c>
      <c r="W467" s="2" t="s">
        <v>5</v>
      </c>
      <c r="X467" s="29" t="s">
        <v>5</v>
      </c>
      <c r="Y467" s="30" t="s">
        <v>5</v>
      </c>
      <c r="Z467" s="29" t="s">
        <v>5</v>
      </c>
      <c r="AA467" s="30" t="s">
        <v>5</v>
      </c>
      <c r="AB467" s="29" t="s">
        <v>5</v>
      </c>
      <c r="AC467" s="29" t="s">
        <v>5</v>
      </c>
      <c r="AD467" s="29" t="s">
        <v>5</v>
      </c>
      <c r="AE467" s="29" t="s">
        <v>5</v>
      </c>
      <c r="AF467" s="29" t="s">
        <v>5</v>
      </c>
      <c r="AG467" s="29" t="s">
        <v>5</v>
      </c>
      <c r="AH467" s="2" t="s">
        <v>5</v>
      </c>
      <c r="AI467" s="2" t="s">
        <v>5</v>
      </c>
      <c r="AJ467" s="2" t="s">
        <v>5</v>
      </c>
      <c r="AK467" s="2" t="s">
        <v>5</v>
      </c>
    </row>
    <row r="468" spans="3:37" ht="12.5">
      <c r="C468" s="2" t="str">
        <f ca="1"/>
        <v/>
      </c>
      <c r="D468" s="2" t="str">
        <v/>
      </c>
      <c r="E468" s="29" t="str">
        <v/>
      </c>
      <c r="F468" s="30" t="str">
        <v/>
      </c>
      <c r="G468" s="29" t="str">
        <v/>
      </c>
      <c r="H468" s="30" t="str">
        <v/>
      </c>
      <c r="I468" s="29" t="str">
        <v/>
      </c>
      <c r="J468" s="29" t="str">
        <v/>
      </c>
      <c r="K468" s="29" t="str">
        <v/>
      </c>
      <c r="L468" s="29" t="str">
        <v/>
      </c>
      <c r="M468" s="29" t="str">
        <v/>
      </c>
      <c r="N468" s="29" t="str">
        <v/>
      </c>
      <c r="O468" s="2" t="str">
        <f ca="1"/>
        <v/>
      </c>
      <c r="P468" s="2" t="str">
        <f ca="1"/>
        <v/>
      </c>
      <c r="Q468" s="2" t="s">
        <v>5</v>
      </c>
      <c r="R468" s="2" t="s">
        <v>5</v>
      </c>
      <c r="U468" s="2"/>
      <c r="V468" s="2" t="s">
        <v>5</v>
      </c>
      <c r="W468" s="2" t="s">
        <v>5</v>
      </c>
      <c r="X468" s="29" t="s">
        <v>5</v>
      </c>
      <c r="Y468" s="30" t="s">
        <v>5</v>
      </c>
      <c r="Z468" s="29" t="s">
        <v>5</v>
      </c>
      <c r="AA468" s="30" t="s">
        <v>5</v>
      </c>
      <c r="AB468" s="29" t="s">
        <v>5</v>
      </c>
      <c r="AC468" s="29" t="s">
        <v>5</v>
      </c>
      <c r="AD468" s="29" t="s">
        <v>5</v>
      </c>
      <c r="AE468" s="29" t="s">
        <v>5</v>
      </c>
      <c r="AF468" s="29" t="s">
        <v>5</v>
      </c>
      <c r="AG468" s="29" t="s">
        <v>5</v>
      </c>
      <c r="AH468" s="2" t="s">
        <v>5</v>
      </c>
      <c r="AI468" s="2" t="s">
        <v>5</v>
      </c>
      <c r="AJ468" s="2" t="s">
        <v>5</v>
      </c>
      <c r="AK468" s="2" t="s">
        <v>5</v>
      </c>
    </row>
    <row r="469" spans="3:37" ht="12.5">
      <c r="C469" s="2" t="str">
        <f ca="1"/>
        <v/>
      </c>
      <c r="D469" s="2" t="str">
        <v/>
      </c>
      <c r="E469" s="29" t="str">
        <v/>
      </c>
      <c r="F469" s="30" t="str">
        <v/>
      </c>
      <c r="G469" s="29" t="str">
        <v/>
      </c>
      <c r="H469" s="30" t="str">
        <v/>
      </c>
      <c r="I469" s="29" t="str">
        <v/>
      </c>
      <c r="J469" s="29" t="str">
        <v/>
      </c>
      <c r="K469" s="29" t="str">
        <v/>
      </c>
      <c r="L469" s="29" t="str">
        <v/>
      </c>
      <c r="M469" s="29" t="str">
        <v/>
      </c>
      <c r="N469" s="29" t="str">
        <v/>
      </c>
      <c r="O469" s="2" t="str">
        <f ca="1"/>
        <v/>
      </c>
      <c r="P469" s="2" t="str">
        <f ca="1"/>
        <v/>
      </c>
      <c r="Q469" s="2" t="s">
        <v>5</v>
      </c>
      <c r="R469" s="2" t="s">
        <v>5</v>
      </c>
      <c r="U469" s="2"/>
      <c r="V469" s="2" t="s">
        <v>5</v>
      </c>
      <c r="W469" s="2" t="s">
        <v>5</v>
      </c>
      <c r="X469" s="29" t="s">
        <v>5</v>
      </c>
      <c r="Y469" s="30" t="s">
        <v>5</v>
      </c>
      <c r="Z469" s="29" t="s">
        <v>5</v>
      </c>
      <c r="AA469" s="30" t="s">
        <v>5</v>
      </c>
      <c r="AB469" s="29" t="s">
        <v>5</v>
      </c>
      <c r="AC469" s="29" t="s">
        <v>5</v>
      </c>
      <c r="AD469" s="29" t="s">
        <v>5</v>
      </c>
      <c r="AE469" s="29" t="s">
        <v>5</v>
      </c>
      <c r="AF469" s="29" t="s">
        <v>5</v>
      </c>
      <c r="AG469" s="29" t="s">
        <v>5</v>
      </c>
      <c r="AH469" s="2" t="s">
        <v>5</v>
      </c>
      <c r="AI469" s="2" t="s">
        <v>5</v>
      </c>
      <c r="AJ469" s="2" t="s">
        <v>5</v>
      </c>
      <c r="AK469" s="2" t="s">
        <v>5</v>
      </c>
    </row>
    <row r="470" spans="3:37" ht="12.5">
      <c r="C470" s="2" t="str">
        <f ca="1"/>
        <v/>
      </c>
      <c r="D470" s="2" t="str">
        <v/>
      </c>
      <c r="E470" s="29" t="str">
        <v/>
      </c>
      <c r="F470" s="30" t="str">
        <v/>
      </c>
      <c r="G470" s="29" t="str">
        <v/>
      </c>
      <c r="H470" s="30" t="str">
        <v/>
      </c>
      <c r="I470" s="29" t="str">
        <v/>
      </c>
      <c r="J470" s="29" t="str">
        <v/>
      </c>
      <c r="K470" s="29" t="str">
        <v/>
      </c>
      <c r="L470" s="29" t="str">
        <v/>
      </c>
      <c r="M470" s="29" t="str">
        <v/>
      </c>
      <c r="N470" s="29" t="str">
        <v/>
      </c>
      <c r="O470" s="2" t="str">
        <f ca="1"/>
        <v/>
      </c>
      <c r="P470" s="2" t="str">
        <f ca="1"/>
        <v/>
      </c>
      <c r="Q470" s="2" t="s">
        <v>5</v>
      </c>
      <c r="R470" s="2" t="s">
        <v>5</v>
      </c>
      <c r="U470" s="2"/>
      <c r="V470" s="2" t="s">
        <v>5</v>
      </c>
      <c r="W470" s="2" t="s">
        <v>5</v>
      </c>
      <c r="X470" s="29" t="s">
        <v>5</v>
      </c>
      <c r="Y470" s="30" t="s">
        <v>5</v>
      </c>
      <c r="Z470" s="29" t="s">
        <v>5</v>
      </c>
      <c r="AA470" s="30" t="s">
        <v>5</v>
      </c>
      <c r="AB470" s="29" t="s">
        <v>5</v>
      </c>
      <c r="AC470" s="29" t="s">
        <v>5</v>
      </c>
      <c r="AD470" s="29" t="s">
        <v>5</v>
      </c>
      <c r="AE470" s="29" t="s">
        <v>5</v>
      </c>
      <c r="AF470" s="29" t="s">
        <v>5</v>
      </c>
      <c r="AG470" s="29" t="s">
        <v>5</v>
      </c>
      <c r="AH470" s="2" t="s">
        <v>5</v>
      </c>
      <c r="AI470" s="2" t="s">
        <v>5</v>
      </c>
      <c r="AJ470" s="2" t="s">
        <v>5</v>
      </c>
      <c r="AK470" s="2" t="s">
        <v>5</v>
      </c>
    </row>
    <row r="471" spans="3:37" ht="12.5">
      <c r="C471" s="2" t="str">
        <f ca="1"/>
        <v/>
      </c>
      <c r="D471" s="2" t="str">
        <v/>
      </c>
      <c r="E471" s="29" t="str">
        <v/>
      </c>
      <c r="F471" s="30" t="str">
        <v/>
      </c>
      <c r="G471" s="29" t="str">
        <v/>
      </c>
      <c r="H471" s="30" t="str">
        <v/>
      </c>
      <c r="I471" s="29" t="str">
        <v/>
      </c>
      <c r="J471" s="29" t="str">
        <v/>
      </c>
      <c r="K471" s="29" t="str">
        <v/>
      </c>
      <c r="L471" s="29" t="str">
        <v/>
      </c>
      <c r="M471" s="29" t="str">
        <v/>
      </c>
      <c r="N471" s="29" t="str">
        <v/>
      </c>
      <c r="O471" s="2" t="str">
        <f ca="1"/>
        <v/>
      </c>
      <c r="P471" s="2" t="str">
        <f ca="1"/>
        <v/>
      </c>
      <c r="Q471" s="2" t="s">
        <v>5</v>
      </c>
      <c r="R471" s="2" t="s">
        <v>5</v>
      </c>
      <c r="U471" s="2"/>
      <c r="V471" s="2" t="s">
        <v>5</v>
      </c>
      <c r="W471" s="2" t="s">
        <v>5</v>
      </c>
      <c r="X471" s="29" t="s">
        <v>5</v>
      </c>
      <c r="Y471" s="30" t="s">
        <v>5</v>
      </c>
      <c r="Z471" s="29" t="s">
        <v>5</v>
      </c>
      <c r="AA471" s="30" t="s">
        <v>5</v>
      </c>
      <c r="AB471" s="29" t="s">
        <v>5</v>
      </c>
      <c r="AC471" s="29" t="s">
        <v>5</v>
      </c>
      <c r="AD471" s="29" t="s">
        <v>5</v>
      </c>
      <c r="AE471" s="29" t="s">
        <v>5</v>
      </c>
      <c r="AF471" s="29" t="s">
        <v>5</v>
      </c>
      <c r="AG471" s="29" t="s">
        <v>5</v>
      </c>
      <c r="AH471" s="2" t="s">
        <v>5</v>
      </c>
      <c r="AI471" s="2" t="s">
        <v>5</v>
      </c>
      <c r="AJ471" s="2" t="s">
        <v>5</v>
      </c>
      <c r="AK471" s="2" t="s">
        <v>5</v>
      </c>
    </row>
    <row r="472" spans="3:37" ht="12.5">
      <c r="C472" s="2" t="str">
        <f ca="1"/>
        <v/>
      </c>
      <c r="D472" s="2" t="str">
        <v/>
      </c>
      <c r="E472" s="29" t="str">
        <v/>
      </c>
      <c r="F472" s="30" t="str">
        <v/>
      </c>
      <c r="G472" s="29" t="str">
        <v/>
      </c>
      <c r="H472" s="30" t="str">
        <v/>
      </c>
      <c r="I472" s="29" t="str">
        <v/>
      </c>
      <c r="J472" s="29" t="str">
        <v/>
      </c>
      <c r="K472" s="29" t="str">
        <v/>
      </c>
      <c r="L472" s="29" t="str">
        <v/>
      </c>
      <c r="M472" s="29" t="str">
        <v/>
      </c>
      <c r="N472" s="29" t="str">
        <v/>
      </c>
      <c r="O472" s="2" t="str">
        <f ca="1"/>
        <v/>
      </c>
      <c r="P472" s="2" t="str">
        <f ca="1"/>
        <v/>
      </c>
      <c r="Q472" s="2" t="s">
        <v>5</v>
      </c>
      <c r="R472" s="2" t="s">
        <v>5</v>
      </c>
      <c r="U472" s="2"/>
      <c r="V472" s="2" t="s">
        <v>5</v>
      </c>
      <c r="W472" s="2" t="s">
        <v>5</v>
      </c>
      <c r="X472" s="29" t="s">
        <v>5</v>
      </c>
      <c r="Y472" s="30" t="s">
        <v>5</v>
      </c>
      <c r="Z472" s="29" t="s">
        <v>5</v>
      </c>
      <c r="AA472" s="30" t="s">
        <v>5</v>
      </c>
      <c r="AB472" s="29" t="s">
        <v>5</v>
      </c>
      <c r="AC472" s="29" t="s">
        <v>5</v>
      </c>
      <c r="AD472" s="29" t="s">
        <v>5</v>
      </c>
      <c r="AE472" s="29" t="s">
        <v>5</v>
      </c>
      <c r="AF472" s="29" t="s">
        <v>5</v>
      </c>
      <c r="AG472" s="29" t="s">
        <v>5</v>
      </c>
      <c r="AH472" s="2" t="s">
        <v>5</v>
      </c>
      <c r="AI472" s="2" t="s">
        <v>5</v>
      </c>
      <c r="AJ472" s="2" t="s">
        <v>5</v>
      </c>
      <c r="AK472" s="2" t="s">
        <v>5</v>
      </c>
    </row>
    <row r="473" spans="3:37" ht="12.5">
      <c r="C473" s="2" t="str">
        <f ca="1"/>
        <v/>
      </c>
      <c r="D473" s="2" t="str">
        <v/>
      </c>
      <c r="E473" s="29" t="str">
        <v/>
      </c>
      <c r="F473" s="30" t="str">
        <v/>
      </c>
      <c r="G473" s="29" t="str">
        <v/>
      </c>
      <c r="H473" s="30" t="str">
        <v/>
      </c>
      <c r="I473" s="29" t="str">
        <v/>
      </c>
      <c r="J473" s="29" t="str">
        <v/>
      </c>
      <c r="K473" s="29" t="str">
        <v/>
      </c>
      <c r="L473" s="29" t="str">
        <v/>
      </c>
      <c r="M473" s="29" t="str">
        <v/>
      </c>
      <c r="N473" s="29" t="str">
        <v/>
      </c>
      <c r="O473" s="2" t="str">
        <f ca="1"/>
        <v/>
      </c>
      <c r="P473" s="2" t="str">
        <f ca="1"/>
        <v/>
      </c>
      <c r="Q473" s="2" t="s">
        <v>5</v>
      </c>
      <c r="R473" s="2" t="s">
        <v>5</v>
      </c>
      <c r="U473" s="2"/>
      <c r="V473" s="2" t="s">
        <v>5</v>
      </c>
      <c r="W473" s="2" t="s">
        <v>5</v>
      </c>
      <c r="X473" s="29" t="s">
        <v>5</v>
      </c>
      <c r="Y473" s="30" t="s">
        <v>5</v>
      </c>
      <c r="Z473" s="29" t="s">
        <v>5</v>
      </c>
      <c r="AA473" s="30" t="s">
        <v>5</v>
      </c>
      <c r="AB473" s="29" t="s">
        <v>5</v>
      </c>
      <c r="AC473" s="29" t="s">
        <v>5</v>
      </c>
      <c r="AD473" s="29" t="s">
        <v>5</v>
      </c>
      <c r="AE473" s="29" t="s">
        <v>5</v>
      </c>
      <c r="AF473" s="29" t="s">
        <v>5</v>
      </c>
      <c r="AG473" s="29" t="s">
        <v>5</v>
      </c>
      <c r="AH473" s="2" t="s">
        <v>5</v>
      </c>
      <c r="AI473" s="2" t="s">
        <v>5</v>
      </c>
      <c r="AJ473" s="2" t="s">
        <v>5</v>
      </c>
      <c r="AK473" s="2" t="s">
        <v>5</v>
      </c>
    </row>
    <row r="474" spans="3:37" ht="12.5">
      <c r="C474" s="2" t="str">
        <f ca="1"/>
        <v/>
      </c>
      <c r="D474" s="2" t="str">
        <v/>
      </c>
      <c r="E474" s="29" t="str">
        <v/>
      </c>
      <c r="F474" s="30" t="str">
        <v/>
      </c>
      <c r="G474" s="29" t="str">
        <v/>
      </c>
      <c r="H474" s="30" t="str">
        <v/>
      </c>
      <c r="I474" s="29" t="str">
        <v/>
      </c>
      <c r="J474" s="29" t="str">
        <v/>
      </c>
      <c r="K474" s="29" t="str">
        <v/>
      </c>
      <c r="L474" s="29" t="str">
        <v/>
      </c>
      <c r="M474" s="29" t="str">
        <v/>
      </c>
      <c r="N474" s="29" t="str">
        <v/>
      </c>
      <c r="O474" s="2" t="str">
        <f ca="1"/>
        <v/>
      </c>
      <c r="P474" s="2" t="str">
        <f ca="1"/>
        <v/>
      </c>
      <c r="Q474" s="2" t="s">
        <v>5</v>
      </c>
      <c r="R474" s="2" t="s">
        <v>5</v>
      </c>
      <c r="U474" s="2"/>
      <c r="V474" s="2" t="s">
        <v>5</v>
      </c>
      <c r="W474" s="2" t="s">
        <v>5</v>
      </c>
      <c r="X474" s="29" t="s">
        <v>5</v>
      </c>
      <c r="Y474" s="30" t="s">
        <v>5</v>
      </c>
      <c r="Z474" s="29" t="s">
        <v>5</v>
      </c>
      <c r="AA474" s="30" t="s">
        <v>5</v>
      </c>
      <c r="AB474" s="29" t="s">
        <v>5</v>
      </c>
      <c r="AC474" s="29" t="s">
        <v>5</v>
      </c>
      <c r="AD474" s="29" t="s">
        <v>5</v>
      </c>
      <c r="AE474" s="29" t="s">
        <v>5</v>
      </c>
      <c r="AF474" s="29" t="s">
        <v>5</v>
      </c>
      <c r="AG474" s="29" t="s">
        <v>5</v>
      </c>
      <c r="AH474" s="2" t="s">
        <v>5</v>
      </c>
      <c r="AI474" s="2" t="s">
        <v>5</v>
      </c>
      <c r="AJ474" s="2" t="s">
        <v>5</v>
      </c>
      <c r="AK474" s="2" t="s">
        <v>5</v>
      </c>
    </row>
    <row r="475" spans="3:37" ht="12.5">
      <c r="C475" s="2" t="str">
        <f ca="1"/>
        <v/>
      </c>
      <c r="D475" s="2" t="str">
        <v/>
      </c>
      <c r="E475" s="29" t="str">
        <v/>
      </c>
      <c r="F475" s="30" t="str">
        <v/>
      </c>
      <c r="G475" s="29" t="str">
        <v/>
      </c>
      <c r="H475" s="30" t="str">
        <v/>
      </c>
      <c r="I475" s="29" t="str">
        <v/>
      </c>
      <c r="J475" s="29" t="str">
        <v/>
      </c>
      <c r="K475" s="29" t="str">
        <v/>
      </c>
      <c r="L475" s="29" t="str">
        <v/>
      </c>
      <c r="M475" s="29" t="str">
        <v/>
      </c>
      <c r="N475" s="29" t="str">
        <v/>
      </c>
      <c r="O475" s="2" t="str">
        <f ca="1"/>
        <v/>
      </c>
      <c r="P475" s="2" t="str">
        <f ca="1"/>
        <v/>
      </c>
      <c r="Q475" s="2" t="s">
        <v>5</v>
      </c>
      <c r="R475" s="2" t="s">
        <v>5</v>
      </c>
      <c r="U475" s="2"/>
      <c r="V475" s="2" t="s">
        <v>5</v>
      </c>
      <c r="W475" s="2" t="s">
        <v>5</v>
      </c>
      <c r="X475" s="29" t="s">
        <v>5</v>
      </c>
      <c r="Y475" s="30" t="s">
        <v>5</v>
      </c>
      <c r="Z475" s="29" t="s">
        <v>5</v>
      </c>
      <c r="AA475" s="30" t="s">
        <v>5</v>
      </c>
      <c r="AB475" s="29" t="s">
        <v>5</v>
      </c>
      <c r="AC475" s="29" t="s">
        <v>5</v>
      </c>
      <c r="AD475" s="29" t="s">
        <v>5</v>
      </c>
      <c r="AE475" s="29" t="s">
        <v>5</v>
      </c>
      <c r="AF475" s="29" t="s">
        <v>5</v>
      </c>
      <c r="AG475" s="29" t="s">
        <v>5</v>
      </c>
      <c r="AH475" s="2" t="s">
        <v>5</v>
      </c>
      <c r="AI475" s="2" t="s">
        <v>5</v>
      </c>
      <c r="AJ475" s="2" t="s">
        <v>5</v>
      </c>
      <c r="AK475" s="2" t="s">
        <v>5</v>
      </c>
    </row>
    <row r="476" spans="3:37" ht="12.5">
      <c r="C476" s="2" t="str">
        <f ca="1"/>
        <v/>
      </c>
      <c r="D476" s="2" t="str">
        <v/>
      </c>
      <c r="E476" s="29" t="str">
        <v/>
      </c>
      <c r="F476" s="30" t="str">
        <v/>
      </c>
      <c r="G476" s="29" t="str">
        <v/>
      </c>
      <c r="H476" s="30" t="str">
        <v/>
      </c>
      <c r="I476" s="29" t="str">
        <v/>
      </c>
      <c r="J476" s="29" t="str">
        <v/>
      </c>
      <c r="K476" s="29" t="str">
        <v/>
      </c>
      <c r="L476" s="29" t="str">
        <v/>
      </c>
      <c r="M476" s="29" t="str">
        <v/>
      </c>
      <c r="N476" s="29" t="str">
        <v/>
      </c>
      <c r="O476" s="2" t="str">
        <f ca="1"/>
        <v/>
      </c>
      <c r="P476" s="2" t="str">
        <f ca="1"/>
        <v/>
      </c>
      <c r="Q476" s="2" t="s">
        <v>5</v>
      </c>
      <c r="R476" s="2" t="s">
        <v>5</v>
      </c>
      <c r="U476" s="2"/>
      <c r="V476" s="2" t="s">
        <v>5</v>
      </c>
      <c r="W476" s="2" t="s">
        <v>5</v>
      </c>
      <c r="X476" s="29" t="s">
        <v>5</v>
      </c>
      <c r="Y476" s="30" t="s">
        <v>5</v>
      </c>
      <c r="Z476" s="29" t="s">
        <v>5</v>
      </c>
      <c r="AA476" s="30" t="s">
        <v>5</v>
      </c>
      <c r="AB476" s="29" t="s">
        <v>5</v>
      </c>
      <c r="AC476" s="29" t="s">
        <v>5</v>
      </c>
      <c r="AD476" s="29" t="s">
        <v>5</v>
      </c>
      <c r="AE476" s="29" t="s">
        <v>5</v>
      </c>
      <c r="AF476" s="29" t="s">
        <v>5</v>
      </c>
      <c r="AG476" s="29" t="s">
        <v>5</v>
      </c>
      <c r="AH476" s="2" t="s">
        <v>5</v>
      </c>
      <c r="AI476" s="2" t="s">
        <v>5</v>
      </c>
      <c r="AJ476" s="2" t="s">
        <v>5</v>
      </c>
      <c r="AK476" s="2" t="s">
        <v>5</v>
      </c>
    </row>
    <row r="477" spans="3:37" ht="12.5">
      <c r="C477" s="2" t="str">
        <f ca="1"/>
        <v/>
      </c>
      <c r="D477" s="2" t="str">
        <v/>
      </c>
      <c r="E477" s="29" t="str">
        <v/>
      </c>
      <c r="F477" s="30" t="str">
        <v/>
      </c>
      <c r="G477" s="29" t="str">
        <v/>
      </c>
      <c r="H477" s="30" t="str">
        <v/>
      </c>
      <c r="I477" s="29" t="str">
        <v/>
      </c>
      <c r="J477" s="29" t="str">
        <v/>
      </c>
      <c r="K477" s="29" t="str">
        <v/>
      </c>
      <c r="L477" s="29" t="str">
        <v/>
      </c>
      <c r="M477" s="29" t="str">
        <v/>
      </c>
      <c r="N477" s="29" t="str">
        <v/>
      </c>
      <c r="O477" s="2" t="str">
        <f ca="1"/>
        <v/>
      </c>
      <c r="P477" s="2" t="str">
        <f ca="1"/>
        <v/>
      </c>
      <c r="Q477" s="2" t="s">
        <v>5</v>
      </c>
      <c r="R477" s="2" t="s">
        <v>5</v>
      </c>
      <c r="U477" s="2"/>
      <c r="V477" s="2" t="s">
        <v>5</v>
      </c>
      <c r="W477" s="2" t="s">
        <v>5</v>
      </c>
      <c r="X477" s="29" t="s">
        <v>5</v>
      </c>
      <c r="Y477" s="30" t="s">
        <v>5</v>
      </c>
      <c r="Z477" s="29" t="s">
        <v>5</v>
      </c>
      <c r="AA477" s="30" t="s">
        <v>5</v>
      </c>
      <c r="AB477" s="29" t="s">
        <v>5</v>
      </c>
      <c r="AC477" s="29" t="s">
        <v>5</v>
      </c>
      <c r="AD477" s="29" t="s">
        <v>5</v>
      </c>
      <c r="AE477" s="29" t="s">
        <v>5</v>
      </c>
      <c r="AF477" s="29" t="s">
        <v>5</v>
      </c>
      <c r="AG477" s="29" t="s">
        <v>5</v>
      </c>
      <c r="AH477" s="2" t="s">
        <v>5</v>
      </c>
      <c r="AI477" s="2" t="s">
        <v>5</v>
      </c>
      <c r="AJ477" s="2" t="s">
        <v>5</v>
      </c>
      <c r="AK477" s="2" t="s">
        <v>5</v>
      </c>
    </row>
    <row r="478" spans="3:37" ht="12.5">
      <c r="C478" s="2" t="str">
        <f ca="1"/>
        <v/>
      </c>
      <c r="D478" s="2" t="str">
        <v/>
      </c>
      <c r="E478" s="29" t="str">
        <v/>
      </c>
      <c r="F478" s="30" t="str">
        <v/>
      </c>
      <c r="G478" s="29" t="str">
        <v/>
      </c>
      <c r="H478" s="30" t="str">
        <v/>
      </c>
      <c r="I478" s="29" t="str">
        <v/>
      </c>
      <c r="J478" s="29" t="str">
        <v/>
      </c>
      <c r="K478" s="29" t="str">
        <v/>
      </c>
      <c r="L478" s="29" t="str">
        <v/>
      </c>
      <c r="M478" s="29" t="str">
        <v/>
      </c>
      <c r="N478" s="29" t="str">
        <v/>
      </c>
      <c r="O478" s="2" t="str">
        <f ca="1"/>
        <v/>
      </c>
      <c r="P478" s="2" t="str">
        <f ca="1"/>
        <v/>
      </c>
      <c r="Q478" s="2" t="s">
        <v>5</v>
      </c>
      <c r="R478" s="2" t="s">
        <v>5</v>
      </c>
      <c r="U478" s="2"/>
      <c r="V478" s="2" t="s">
        <v>5</v>
      </c>
      <c r="W478" s="2" t="s">
        <v>5</v>
      </c>
      <c r="X478" s="29" t="s">
        <v>5</v>
      </c>
      <c r="Y478" s="30" t="s">
        <v>5</v>
      </c>
      <c r="Z478" s="29" t="s">
        <v>5</v>
      </c>
      <c r="AA478" s="30" t="s">
        <v>5</v>
      </c>
      <c r="AB478" s="29" t="s">
        <v>5</v>
      </c>
      <c r="AC478" s="29" t="s">
        <v>5</v>
      </c>
      <c r="AD478" s="29" t="s">
        <v>5</v>
      </c>
      <c r="AE478" s="29" t="s">
        <v>5</v>
      </c>
      <c r="AF478" s="29" t="s">
        <v>5</v>
      </c>
      <c r="AG478" s="29" t="s">
        <v>5</v>
      </c>
      <c r="AH478" s="2" t="s">
        <v>5</v>
      </c>
      <c r="AI478" s="2" t="s">
        <v>5</v>
      </c>
      <c r="AJ478" s="2" t="s">
        <v>5</v>
      </c>
      <c r="AK478" s="2" t="s">
        <v>5</v>
      </c>
    </row>
    <row r="479" spans="3:37" ht="12.5">
      <c r="C479" s="2" t="str">
        <f ca="1"/>
        <v/>
      </c>
      <c r="D479" s="2" t="str">
        <v/>
      </c>
      <c r="E479" s="29" t="str">
        <v/>
      </c>
      <c r="F479" s="30" t="str">
        <v/>
      </c>
      <c r="G479" s="29" t="str">
        <v/>
      </c>
      <c r="H479" s="30" t="str">
        <v/>
      </c>
      <c r="I479" s="29" t="str">
        <v/>
      </c>
      <c r="J479" s="29" t="str">
        <v/>
      </c>
      <c r="K479" s="29" t="str">
        <v/>
      </c>
      <c r="L479" s="29" t="str">
        <v/>
      </c>
      <c r="M479" s="29" t="str">
        <v/>
      </c>
      <c r="N479" s="29" t="str">
        <v/>
      </c>
      <c r="O479" s="2" t="str">
        <f ca="1"/>
        <v/>
      </c>
      <c r="P479" s="2" t="str">
        <f ca="1"/>
        <v/>
      </c>
      <c r="Q479" s="2" t="s">
        <v>5</v>
      </c>
      <c r="R479" s="2" t="s">
        <v>5</v>
      </c>
      <c r="U479" s="2"/>
      <c r="V479" s="2" t="s">
        <v>5</v>
      </c>
      <c r="W479" s="2" t="s">
        <v>5</v>
      </c>
      <c r="X479" s="29" t="s">
        <v>5</v>
      </c>
      <c r="Y479" s="30" t="s">
        <v>5</v>
      </c>
      <c r="Z479" s="29" t="s">
        <v>5</v>
      </c>
      <c r="AA479" s="30" t="s">
        <v>5</v>
      </c>
      <c r="AB479" s="29" t="s">
        <v>5</v>
      </c>
      <c r="AC479" s="29" t="s">
        <v>5</v>
      </c>
      <c r="AD479" s="29" t="s">
        <v>5</v>
      </c>
      <c r="AE479" s="29" t="s">
        <v>5</v>
      </c>
      <c r="AF479" s="29" t="s">
        <v>5</v>
      </c>
      <c r="AG479" s="29" t="s">
        <v>5</v>
      </c>
      <c r="AH479" s="2" t="s">
        <v>5</v>
      </c>
      <c r="AI479" s="2" t="s">
        <v>5</v>
      </c>
      <c r="AJ479" s="2" t="s">
        <v>5</v>
      </c>
      <c r="AK479" s="2" t="s">
        <v>5</v>
      </c>
    </row>
    <row r="480" spans="3:37" ht="12.5">
      <c r="C480" s="2" t="str">
        <f ca="1"/>
        <v/>
      </c>
      <c r="D480" s="2" t="str">
        <v/>
      </c>
      <c r="E480" s="29" t="str">
        <v/>
      </c>
      <c r="F480" s="30" t="str">
        <v/>
      </c>
      <c r="G480" s="29" t="str">
        <v/>
      </c>
      <c r="H480" s="30" t="str">
        <v/>
      </c>
      <c r="I480" s="29" t="str">
        <v/>
      </c>
      <c r="J480" s="29" t="str">
        <v/>
      </c>
      <c r="K480" s="29" t="str">
        <v/>
      </c>
      <c r="L480" s="29" t="str">
        <v/>
      </c>
      <c r="M480" s="29" t="str">
        <v/>
      </c>
      <c r="N480" s="29" t="str">
        <v/>
      </c>
      <c r="O480" s="2" t="str">
        <f ca="1"/>
        <v/>
      </c>
      <c r="P480" s="2" t="str">
        <f ca="1"/>
        <v/>
      </c>
      <c r="Q480" s="2" t="s">
        <v>5</v>
      </c>
      <c r="R480" s="2" t="s">
        <v>5</v>
      </c>
      <c r="U480" s="2"/>
      <c r="V480" s="2" t="s">
        <v>5</v>
      </c>
      <c r="W480" s="2" t="s">
        <v>5</v>
      </c>
      <c r="X480" s="29" t="s">
        <v>5</v>
      </c>
      <c r="Y480" s="30" t="s">
        <v>5</v>
      </c>
      <c r="Z480" s="29" t="s">
        <v>5</v>
      </c>
      <c r="AA480" s="30" t="s">
        <v>5</v>
      </c>
      <c r="AB480" s="29" t="s">
        <v>5</v>
      </c>
      <c r="AC480" s="29" t="s">
        <v>5</v>
      </c>
      <c r="AD480" s="29" t="s">
        <v>5</v>
      </c>
      <c r="AE480" s="29" t="s">
        <v>5</v>
      </c>
      <c r="AF480" s="29" t="s">
        <v>5</v>
      </c>
      <c r="AG480" s="29" t="s">
        <v>5</v>
      </c>
      <c r="AH480" s="2" t="s">
        <v>5</v>
      </c>
      <c r="AI480" s="2" t="s">
        <v>5</v>
      </c>
      <c r="AJ480" s="2" t="s">
        <v>5</v>
      </c>
      <c r="AK480" s="2" t="s">
        <v>5</v>
      </c>
    </row>
    <row r="481" spans="3:37" ht="12.5">
      <c r="C481" s="2" t="str">
        <f ca="1"/>
        <v/>
      </c>
      <c r="D481" s="2" t="str">
        <v/>
      </c>
      <c r="E481" s="29" t="str">
        <v/>
      </c>
      <c r="F481" s="30" t="str">
        <v/>
      </c>
      <c r="G481" s="29" t="str">
        <v/>
      </c>
      <c r="H481" s="30" t="str">
        <v/>
      </c>
      <c r="I481" s="29" t="str">
        <v/>
      </c>
      <c r="J481" s="29" t="str">
        <v/>
      </c>
      <c r="K481" s="29" t="str">
        <v/>
      </c>
      <c r="L481" s="29" t="str">
        <v/>
      </c>
      <c r="M481" s="29" t="str">
        <v/>
      </c>
      <c r="N481" s="29" t="str">
        <v/>
      </c>
      <c r="O481" s="2" t="str">
        <f ca="1"/>
        <v/>
      </c>
      <c r="P481" s="2" t="str">
        <f ca="1"/>
        <v/>
      </c>
      <c r="Q481" s="2" t="s">
        <v>5</v>
      </c>
      <c r="R481" s="2" t="s">
        <v>5</v>
      </c>
      <c r="U481" s="2"/>
      <c r="V481" s="2" t="s">
        <v>5</v>
      </c>
      <c r="W481" s="2" t="s">
        <v>5</v>
      </c>
      <c r="X481" s="29" t="s">
        <v>5</v>
      </c>
      <c r="Y481" s="30" t="s">
        <v>5</v>
      </c>
      <c r="Z481" s="29" t="s">
        <v>5</v>
      </c>
      <c r="AA481" s="30" t="s">
        <v>5</v>
      </c>
      <c r="AB481" s="29" t="s">
        <v>5</v>
      </c>
      <c r="AC481" s="29" t="s">
        <v>5</v>
      </c>
      <c r="AD481" s="29" t="s">
        <v>5</v>
      </c>
      <c r="AE481" s="29" t="s">
        <v>5</v>
      </c>
      <c r="AF481" s="29" t="s">
        <v>5</v>
      </c>
      <c r="AG481" s="29" t="s">
        <v>5</v>
      </c>
      <c r="AH481" s="2" t="s">
        <v>5</v>
      </c>
      <c r="AI481" s="2" t="s">
        <v>5</v>
      </c>
      <c r="AJ481" s="2" t="s">
        <v>5</v>
      </c>
      <c r="AK481" s="2" t="s">
        <v>5</v>
      </c>
    </row>
    <row r="482" spans="3:37" ht="12.5">
      <c r="C482" s="2" t="str">
        <f ca="1"/>
        <v/>
      </c>
      <c r="D482" s="2" t="str">
        <v/>
      </c>
      <c r="E482" s="29" t="str">
        <v/>
      </c>
      <c r="F482" s="30" t="str">
        <v/>
      </c>
      <c r="G482" s="29" t="str">
        <v/>
      </c>
      <c r="H482" s="30" t="str">
        <v/>
      </c>
      <c r="I482" s="29" t="str">
        <v/>
      </c>
      <c r="J482" s="29" t="str">
        <v/>
      </c>
      <c r="K482" s="29" t="str">
        <v/>
      </c>
      <c r="L482" s="29" t="str">
        <v/>
      </c>
      <c r="M482" s="29" t="str">
        <v/>
      </c>
      <c r="N482" s="29" t="str">
        <v/>
      </c>
      <c r="O482" s="2" t="str">
        <f ca="1"/>
        <v/>
      </c>
      <c r="P482" s="2" t="str">
        <f ca="1"/>
        <v/>
      </c>
      <c r="Q482" s="2" t="s">
        <v>5</v>
      </c>
      <c r="R482" s="2" t="s">
        <v>5</v>
      </c>
      <c r="U482" s="2"/>
      <c r="V482" s="2" t="s">
        <v>5</v>
      </c>
      <c r="W482" s="2" t="s">
        <v>5</v>
      </c>
      <c r="X482" s="29" t="s">
        <v>5</v>
      </c>
      <c r="Y482" s="30" t="s">
        <v>5</v>
      </c>
      <c r="Z482" s="29" t="s">
        <v>5</v>
      </c>
      <c r="AA482" s="30" t="s">
        <v>5</v>
      </c>
      <c r="AB482" s="29" t="s">
        <v>5</v>
      </c>
      <c r="AC482" s="29" t="s">
        <v>5</v>
      </c>
      <c r="AD482" s="29" t="s">
        <v>5</v>
      </c>
      <c r="AE482" s="29" t="s">
        <v>5</v>
      </c>
      <c r="AF482" s="29" t="s">
        <v>5</v>
      </c>
      <c r="AG482" s="29" t="s">
        <v>5</v>
      </c>
      <c r="AH482" s="2" t="s">
        <v>5</v>
      </c>
      <c r="AI482" s="2" t="s">
        <v>5</v>
      </c>
      <c r="AJ482" s="2" t="s">
        <v>5</v>
      </c>
      <c r="AK482" s="2" t="s">
        <v>5</v>
      </c>
    </row>
    <row r="483" spans="3:37" ht="12.5">
      <c r="C483" s="2" t="str">
        <f ca="1"/>
        <v/>
      </c>
      <c r="D483" s="2" t="str">
        <v/>
      </c>
      <c r="E483" s="29" t="str">
        <v/>
      </c>
      <c r="F483" s="30" t="str">
        <v/>
      </c>
      <c r="G483" s="29" t="str">
        <v/>
      </c>
      <c r="H483" s="30" t="str">
        <v/>
      </c>
      <c r="I483" s="29" t="str">
        <v/>
      </c>
      <c r="J483" s="29" t="str">
        <v/>
      </c>
      <c r="K483" s="29" t="str">
        <v/>
      </c>
      <c r="L483" s="29" t="str">
        <v/>
      </c>
      <c r="M483" s="29" t="str">
        <v/>
      </c>
      <c r="N483" s="29" t="str">
        <v/>
      </c>
      <c r="O483" s="2" t="str">
        <f ca="1"/>
        <v/>
      </c>
      <c r="P483" s="2" t="str">
        <f ca="1"/>
        <v/>
      </c>
      <c r="Q483" s="2" t="s">
        <v>5</v>
      </c>
      <c r="R483" s="2" t="s">
        <v>5</v>
      </c>
      <c r="U483" s="2"/>
      <c r="V483" s="2" t="s">
        <v>5</v>
      </c>
      <c r="W483" s="2" t="s">
        <v>5</v>
      </c>
      <c r="X483" s="29" t="s">
        <v>5</v>
      </c>
      <c r="Y483" s="30" t="s">
        <v>5</v>
      </c>
      <c r="Z483" s="29" t="s">
        <v>5</v>
      </c>
      <c r="AA483" s="30" t="s">
        <v>5</v>
      </c>
      <c r="AB483" s="29" t="s">
        <v>5</v>
      </c>
      <c r="AC483" s="29" t="s">
        <v>5</v>
      </c>
      <c r="AD483" s="29" t="s">
        <v>5</v>
      </c>
      <c r="AE483" s="29" t="s">
        <v>5</v>
      </c>
      <c r="AF483" s="29" t="s">
        <v>5</v>
      </c>
      <c r="AG483" s="29" t="s">
        <v>5</v>
      </c>
      <c r="AH483" s="2" t="s">
        <v>5</v>
      </c>
      <c r="AI483" s="2" t="s">
        <v>5</v>
      </c>
      <c r="AJ483" s="2" t="s">
        <v>5</v>
      </c>
      <c r="AK483" s="2" t="s">
        <v>5</v>
      </c>
    </row>
    <row r="484" spans="3:37" ht="12.5">
      <c r="C484" s="2" t="str">
        <f ca="1"/>
        <v/>
      </c>
      <c r="D484" s="2" t="str">
        <v/>
      </c>
      <c r="E484" s="29" t="str">
        <v/>
      </c>
      <c r="F484" s="30" t="str">
        <v/>
      </c>
      <c r="G484" s="29" t="str">
        <v/>
      </c>
      <c r="H484" s="30" t="str">
        <v/>
      </c>
      <c r="I484" s="29" t="str">
        <v/>
      </c>
      <c r="J484" s="29" t="str">
        <v/>
      </c>
      <c r="K484" s="29" t="str">
        <v/>
      </c>
      <c r="L484" s="29" t="str">
        <v/>
      </c>
      <c r="M484" s="29" t="str">
        <v/>
      </c>
      <c r="N484" s="29" t="str">
        <v/>
      </c>
      <c r="O484" s="2" t="str">
        <f ca="1"/>
        <v/>
      </c>
      <c r="P484" s="2" t="str">
        <f ca="1"/>
        <v/>
      </c>
      <c r="Q484" s="2" t="s">
        <v>5</v>
      </c>
      <c r="R484" s="2" t="s">
        <v>5</v>
      </c>
      <c r="U484" s="2"/>
      <c r="V484" s="2" t="s">
        <v>5</v>
      </c>
      <c r="W484" s="2" t="s">
        <v>5</v>
      </c>
      <c r="X484" s="29" t="s">
        <v>5</v>
      </c>
      <c r="Y484" s="30" t="s">
        <v>5</v>
      </c>
      <c r="Z484" s="29" t="s">
        <v>5</v>
      </c>
      <c r="AA484" s="30" t="s">
        <v>5</v>
      </c>
      <c r="AB484" s="29" t="s">
        <v>5</v>
      </c>
      <c r="AC484" s="29" t="s">
        <v>5</v>
      </c>
      <c r="AD484" s="29" t="s">
        <v>5</v>
      </c>
      <c r="AE484" s="29" t="s">
        <v>5</v>
      </c>
      <c r="AF484" s="29" t="s">
        <v>5</v>
      </c>
      <c r="AG484" s="29" t="s">
        <v>5</v>
      </c>
      <c r="AH484" s="2" t="s">
        <v>5</v>
      </c>
      <c r="AI484" s="2" t="s">
        <v>5</v>
      </c>
      <c r="AJ484" s="2" t="s">
        <v>5</v>
      </c>
      <c r="AK484" s="2" t="s">
        <v>5</v>
      </c>
    </row>
    <row r="485" spans="3:37" ht="12.5">
      <c r="C485" s="2" t="str">
        <f ca="1"/>
        <v/>
      </c>
      <c r="D485" s="2" t="str">
        <v/>
      </c>
      <c r="E485" s="29" t="str">
        <v/>
      </c>
      <c r="F485" s="30" t="str">
        <v/>
      </c>
      <c r="G485" s="29" t="str">
        <v/>
      </c>
      <c r="H485" s="30" t="str">
        <v/>
      </c>
      <c r="I485" s="29" t="str">
        <v/>
      </c>
      <c r="J485" s="29" t="str">
        <v/>
      </c>
      <c r="K485" s="29" t="str">
        <v/>
      </c>
      <c r="L485" s="29" t="str">
        <v/>
      </c>
      <c r="M485" s="29" t="str">
        <v/>
      </c>
      <c r="N485" s="29" t="str">
        <v/>
      </c>
      <c r="O485" s="2" t="str">
        <f ca="1"/>
        <v/>
      </c>
      <c r="P485" s="2" t="str">
        <f ca="1"/>
        <v/>
      </c>
      <c r="Q485" s="2" t="s">
        <v>5</v>
      </c>
      <c r="R485" s="2" t="s">
        <v>5</v>
      </c>
      <c r="U485" s="2"/>
      <c r="V485" s="2" t="s">
        <v>5</v>
      </c>
      <c r="W485" s="2" t="s">
        <v>5</v>
      </c>
      <c r="X485" s="29" t="s">
        <v>5</v>
      </c>
      <c r="Y485" s="30" t="s">
        <v>5</v>
      </c>
      <c r="Z485" s="29" t="s">
        <v>5</v>
      </c>
      <c r="AA485" s="30" t="s">
        <v>5</v>
      </c>
      <c r="AB485" s="29" t="s">
        <v>5</v>
      </c>
      <c r="AC485" s="29" t="s">
        <v>5</v>
      </c>
      <c r="AD485" s="29" t="s">
        <v>5</v>
      </c>
      <c r="AE485" s="29" t="s">
        <v>5</v>
      </c>
      <c r="AF485" s="29" t="s">
        <v>5</v>
      </c>
      <c r="AG485" s="29" t="s">
        <v>5</v>
      </c>
      <c r="AH485" s="2" t="s">
        <v>5</v>
      </c>
      <c r="AI485" s="2" t="s">
        <v>5</v>
      </c>
      <c r="AJ485" s="2" t="s">
        <v>5</v>
      </c>
      <c r="AK485" s="2" t="s">
        <v>5</v>
      </c>
    </row>
    <row r="486" spans="3:37" ht="12.5">
      <c r="C486" s="2" t="str">
        <f ca="1"/>
        <v/>
      </c>
      <c r="D486" s="2" t="str">
        <v/>
      </c>
      <c r="E486" s="29" t="str">
        <v/>
      </c>
      <c r="F486" s="30" t="str">
        <v/>
      </c>
      <c r="G486" s="29" t="str">
        <v/>
      </c>
      <c r="H486" s="30" t="str">
        <v/>
      </c>
      <c r="I486" s="29" t="str">
        <v/>
      </c>
      <c r="J486" s="29" t="str">
        <v/>
      </c>
      <c r="K486" s="29" t="str">
        <v/>
      </c>
      <c r="L486" s="29" t="str">
        <v/>
      </c>
      <c r="M486" s="29" t="str">
        <v/>
      </c>
      <c r="N486" s="29" t="str">
        <v/>
      </c>
      <c r="O486" s="2" t="str">
        <f ca="1"/>
        <v/>
      </c>
      <c r="P486" s="2" t="str">
        <f ca="1"/>
        <v/>
      </c>
      <c r="Q486" s="2" t="s">
        <v>5</v>
      </c>
      <c r="R486" s="2" t="s">
        <v>5</v>
      </c>
      <c r="U486" s="2"/>
      <c r="V486" s="2" t="s">
        <v>5</v>
      </c>
      <c r="W486" s="2" t="s">
        <v>5</v>
      </c>
      <c r="X486" s="29" t="s">
        <v>5</v>
      </c>
      <c r="Y486" s="30" t="s">
        <v>5</v>
      </c>
      <c r="Z486" s="29" t="s">
        <v>5</v>
      </c>
      <c r="AA486" s="30" t="s">
        <v>5</v>
      </c>
      <c r="AB486" s="29" t="s">
        <v>5</v>
      </c>
      <c r="AC486" s="29" t="s">
        <v>5</v>
      </c>
      <c r="AD486" s="29" t="s">
        <v>5</v>
      </c>
      <c r="AE486" s="29" t="s">
        <v>5</v>
      </c>
      <c r="AF486" s="29" t="s">
        <v>5</v>
      </c>
      <c r="AG486" s="29" t="s">
        <v>5</v>
      </c>
      <c r="AH486" s="2" t="s">
        <v>5</v>
      </c>
      <c r="AI486" s="2" t="s">
        <v>5</v>
      </c>
      <c r="AJ486" s="2" t="s">
        <v>5</v>
      </c>
      <c r="AK486" s="2" t="s">
        <v>5</v>
      </c>
    </row>
    <row r="487" spans="3:37" ht="12.5">
      <c r="C487" s="2" t="str">
        <f ca="1"/>
        <v/>
      </c>
      <c r="D487" s="2" t="str">
        <v/>
      </c>
      <c r="E487" s="29" t="str">
        <v/>
      </c>
      <c r="F487" s="30" t="str">
        <v/>
      </c>
      <c r="G487" s="29" t="str">
        <v/>
      </c>
      <c r="H487" s="30" t="str">
        <v/>
      </c>
      <c r="I487" s="29" t="str">
        <v/>
      </c>
      <c r="J487" s="29" t="str">
        <v/>
      </c>
      <c r="K487" s="29" t="str">
        <v/>
      </c>
      <c r="L487" s="29" t="str">
        <v/>
      </c>
      <c r="M487" s="29" t="str">
        <v/>
      </c>
      <c r="N487" s="29" t="str">
        <v/>
      </c>
      <c r="O487" s="2" t="str">
        <f ca="1"/>
        <v/>
      </c>
      <c r="P487" s="2" t="str">
        <f ca="1"/>
        <v/>
      </c>
      <c r="Q487" s="2" t="s">
        <v>5</v>
      </c>
      <c r="R487" s="2" t="s">
        <v>5</v>
      </c>
      <c r="U487" s="2"/>
      <c r="V487" s="2" t="s">
        <v>5</v>
      </c>
      <c r="W487" s="2" t="s">
        <v>5</v>
      </c>
      <c r="X487" s="29" t="s">
        <v>5</v>
      </c>
      <c r="Y487" s="30" t="s">
        <v>5</v>
      </c>
      <c r="Z487" s="29" t="s">
        <v>5</v>
      </c>
      <c r="AA487" s="30" t="s">
        <v>5</v>
      </c>
      <c r="AB487" s="29" t="s">
        <v>5</v>
      </c>
      <c r="AC487" s="29" t="s">
        <v>5</v>
      </c>
      <c r="AD487" s="29" t="s">
        <v>5</v>
      </c>
      <c r="AE487" s="29" t="s">
        <v>5</v>
      </c>
      <c r="AF487" s="29" t="s">
        <v>5</v>
      </c>
      <c r="AG487" s="29" t="s">
        <v>5</v>
      </c>
      <c r="AH487" s="2" t="s">
        <v>5</v>
      </c>
      <c r="AI487" s="2" t="s">
        <v>5</v>
      </c>
      <c r="AJ487" s="2" t="s">
        <v>5</v>
      </c>
      <c r="AK487" s="2" t="s">
        <v>5</v>
      </c>
    </row>
    <row r="488" spans="3:37" ht="12.5">
      <c r="C488" s="2" t="str">
        <f ca="1"/>
        <v/>
      </c>
      <c r="D488" s="2" t="str">
        <v/>
      </c>
      <c r="E488" s="29" t="str">
        <v/>
      </c>
      <c r="F488" s="30" t="str">
        <v/>
      </c>
      <c r="G488" s="29" t="str">
        <v/>
      </c>
      <c r="H488" s="30" t="str">
        <v/>
      </c>
      <c r="I488" s="29" t="str">
        <v/>
      </c>
      <c r="J488" s="29" t="str">
        <v/>
      </c>
      <c r="K488" s="29" t="str">
        <v/>
      </c>
      <c r="L488" s="29" t="str">
        <v/>
      </c>
      <c r="M488" s="29" t="str">
        <v/>
      </c>
      <c r="N488" s="29" t="str">
        <v/>
      </c>
      <c r="O488" s="2" t="str">
        <f ca="1"/>
        <v/>
      </c>
      <c r="P488" s="2" t="str">
        <f ca="1"/>
        <v/>
      </c>
      <c r="Q488" s="2" t="s">
        <v>5</v>
      </c>
      <c r="R488" s="2" t="s">
        <v>5</v>
      </c>
      <c r="U488" s="2"/>
      <c r="V488" s="2" t="s">
        <v>5</v>
      </c>
      <c r="W488" s="2" t="s">
        <v>5</v>
      </c>
      <c r="X488" s="29" t="s">
        <v>5</v>
      </c>
      <c r="Y488" s="30" t="s">
        <v>5</v>
      </c>
      <c r="Z488" s="29" t="s">
        <v>5</v>
      </c>
      <c r="AA488" s="30" t="s">
        <v>5</v>
      </c>
      <c r="AB488" s="29" t="s">
        <v>5</v>
      </c>
      <c r="AC488" s="29" t="s">
        <v>5</v>
      </c>
      <c r="AD488" s="29" t="s">
        <v>5</v>
      </c>
      <c r="AE488" s="29" t="s">
        <v>5</v>
      </c>
      <c r="AF488" s="29" t="s">
        <v>5</v>
      </c>
      <c r="AG488" s="29" t="s">
        <v>5</v>
      </c>
      <c r="AH488" s="2" t="s">
        <v>5</v>
      </c>
      <c r="AI488" s="2" t="s">
        <v>5</v>
      </c>
      <c r="AJ488" s="2" t="s">
        <v>5</v>
      </c>
      <c r="AK488" s="2" t="s">
        <v>5</v>
      </c>
    </row>
    <row r="489" spans="3:37" ht="12.5">
      <c r="C489" s="2" t="str">
        <f ca="1"/>
        <v/>
      </c>
      <c r="D489" s="2" t="str">
        <v/>
      </c>
      <c r="E489" s="29" t="str">
        <v/>
      </c>
      <c r="F489" s="30" t="str">
        <v/>
      </c>
      <c r="G489" s="29" t="str">
        <v/>
      </c>
      <c r="H489" s="30" t="str">
        <v/>
      </c>
      <c r="I489" s="29" t="str">
        <v/>
      </c>
      <c r="J489" s="29" t="str">
        <v/>
      </c>
      <c r="K489" s="29" t="str">
        <v/>
      </c>
      <c r="L489" s="29" t="str">
        <v/>
      </c>
      <c r="M489" s="29" t="str">
        <v/>
      </c>
      <c r="N489" s="29" t="str">
        <v/>
      </c>
      <c r="O489" s="2" t="str">
        <f ca="1"/>
        <v/>
      </c>
      <c r="P489" s="2" t="str">
        <f ca="1"/>
        <v/>
      </c>
      <c r="Q489" s="2" t="s">
        <v>5</v>
      </c>
      <c r="R489" s="2" t="s">
        <v>5</v>
      </c>
      <c r="U489" s="2"/>
      <c r="V489" s="2" t="s">
        <v>5</v>
      </c>
      <c r="W489" s="2" t="s">
        <v>5</v>
      </c>
      <c r="X489" s="29" t="s">
        <v>5</v>
      </c>
      <c r="Y489" s="30" t="s">
        <v>5</v>
      </c>
      <c r="Z489" s="29" t="s">
        <v>5</v>
      </c>
      <c r="AA489" s="30" t="s">
        <v>5</v>
      </c>
      <c r="AB489" s="29" t="s">
        <v>5</v>
      </c>
      <c r="AC489" s="29" t="s">
        <v>5</v>
      </c>
      <c r="AD489" s="29" t="s">
        <v>5</v>
      </c>
      <c r="AE489" s="29" t="s">
        <v>5</v>
      </c>
      <c r="AF489" s="29" t="s">
        <v>5</v>
      </c>
      <c r="AG489" s="29" t="s">
        <v>5</v>
      </c>
      <c r="AH489" s="2" t="s">
        <v>5</v>
      </c>
      <c r="AI489" s="2" t="s">
        <v>5</v>
      </c>
      <c r="AJ489" s="2" t="s">
        <v>5</v>
      </c>
      <c r="AK489" s="2" t="s">
        <v>5</v>
      </c>
    </row>
    <row r="490" spans="3:37" ht="12.5">
      <c r="C490" s="2" t="str">
        <f ca="1"/>
        <v/>
      </c>
      <c r="D490" s="2" t="str">
        <v/>
      </c>
      <c r="E490" s="29" t="str">
        <v/>
      </c>
      <c r="F490" s="30" t="str">
        <v/>
      </c>
      <c r="G490" s="29" t="str">
        <v/>
      </c>
      <c r="H490" s="30" t="str">
        <v/>
      </c>
      <c r="I490" s="29" t="str">
        <v/>
      </c>
      <c r="J490" s="29" t="str">
        <v/>
      </c>
      <c r="K490" s="29" t="str">
        <v/>
      </c>
      <c r="L490" s="29" t="str">
        <v/>
      </c>
      <c r="M490" s="29" t="str">
        <v/>
      </c>
      <c r="N490" s="29" t="str">
        <v/>
      </c>
      <c r="O490" s="2" t="str">
        <f ca="1"/>
        <v/>
      </c>
      <c r="P490" s="2" t="str">
        <f ca="1"/>
        <v/>
      </c>
      <c r="Q490" s="2" t="s">
        <v>5</v>
      </c>
      <c r="R490" s="2" t="s">
        <v>5</v>
      </c>
      <c r="U490" s="2"/>
      <c r="V490" s="2" t="s">
        <v>5</v>
      </c>
      <c r="W490" s="2" t="s">
        <v>5</v>
      </c>
      <c r="X490" s="29" t="s">
        <v>5</v>
      </c>
      <c r="Y490" s="30" t="s">
        <v>5</v>
      </c>
      <c r="Z490" s="29" t="s">
        <v>5</v>
      </c>
      <c r="AA490" s="30" t="s">
        <v>5</v>
      </c>
      <c r="AB490" s="29" t="s">
        <v>5</v>
      </c>
      <c r="AC490" s="29" t="s">
        <v>5</v>
      </c>
      <c r="AD490" s="29" t="s">
        <v>5</v>
      </c>
      <c r="AE490" s="29" t="s">
        <v>5</v>
      </c>
      <c r="AF490" s="29" t="s">
        <v>5</v>
      </c>
      <c r="AG490" s="29" t="s">
        <v>5</v>
      </c>
      <c r="AH490" s="2" t="s">
        <v>5</v>
      </c>
      <c r="AI490" s="2" t="s">
        <v>5</v>
      </c>
      <c r="AJ490" s="2" t="s">
        <v>5</v>
      </c>
      <c r="AK490" s="2" t="s">
        <v>5</v>
      </c>
    </row>
    <row r="491" spans="3:37" ht="12.5">
      <c r="C491" s="2" t="str">
        <f ca="1"/>
        <v/>
      </c>
      <c r="D491" s="2" t="str">
        <v/>
      </c>
      <c r="E491" s="29" t="str">
        <v/>
      </c>
      <c r="F491" s="30" t="str">
        <v/>
      </c>
      <c r="G491" s="29" t="str">
        <v/>
      </c>
      <c r="H491" s="30" t="str">
        <v/>
      </c>
      <c r="I491" s="29" t="str">
        <v/>
      </c>
      <c r="J491" s="29" t="str">
        <v/>
      </c>
      <c r="K491" s="29" t="str">
        <v/>
      </c>
      <c r="L491" s="29" t="str">
        <v/>
      </c>
      <c r="M491" s="29" t="str">
        <v/>
      </c>
      <c r="N491" s="29" t="str">
        <v/>
      </c>
      <c r="O491" s="2" t="str">
        <f ca="1"/>
        <v/>
      </c>
      <c r="P491" s="2" t="str">
        <f ca="1"/>
        <v/>
      </c>
      <c r="Q491" s="2" t="s">
        <v>5</v>
      </c>
      <c r="R491" s="2" t="s">
        <v>5</v>
      </c>
      <c r="U491" s="2"/>
      <c r="V491" s="2" t="s">
        <v>5</v>
      </c>
      <c r="W491" s="2" t="s">
        <v>5</v>
      </c>
      <c r="X491" s="29" t="s">
        <v>5</v>
      </c>
      <c r="Y491" s="30" t="s">
        <v>5</v>
      </c>
      <c r="Z491" s="29" t="s">
        <v>5</v>
      </c>
      <c r="AA491" s="30" t="s">
        <v>5</v>
      </c>
      <c r="AB491" s="29" t="s">
        <v>5</v>
      </c>
      <c r="AC491" s="29" t="s">
        <v>5</v>
      </c>
      <c r="AD491" s="29" t="s">
        <v>5</v>
      </c>
      <c r="AE491" s="29" t="s">
        <v>5</v>
      </c>
      <c r="AF491" s="29" t="s">
        <v>5</v>
      </c>
      <c r="AG491" s="29" t="s">
        <v>5</v>
      </c>
      <c r="AH491" s="2" t="s">
        <v>5</v>
      </c>
      <c r="AI491" s="2" t="s">
        <v>5</v>
      </c>
      <c r="AJ491" s="2" t="s">
        <v>5</v>
      </c>
      <c r="AK491" s="2" t="s">
        <v>5</v>
      </c>
    </row>
    <row r="492" spans="3:37" ht="12.5">
      <c r="C492" s="2" t="str">
        <f ca="1"/>
        <v/>
      </c>
      <c r="D492" s="2" t="str">
        <v/>
      </c>
      <c r="E492" s="29" t="str">
        <v/>
      </c>
      <c r="F492" s="30" t="str">
        <v/>
      </c>
      <c r="G492" s="29" t="str">
        <v/>
      </c>
      <c r="H492" s="30" t="str">
        <v/>
      </c>
      <c r="I492" s="29" t="str">
        <v/>
      </c>
      <c r="J492" s="29" t="str">
        <v/>
      </c>
      <c r="K492" s="29" t="str">
        <v/>
      </c>
      <c r="L492" s="29" t="str">
        <v/>
      </c>
      <c r="M492" s="29" t="str">
        <v/>
      </c>
      <c r="N492" s="29" t="str">
        <v/>
      </c>
      <c r="O492" s="2" t="str">
        <f ca="1"/>
        <v/>
      </c>
      <c r="P492" s="2" t="str">
        <f ca="1"/>
        <v/>
      </c>
      <c r="Q492" s="2" t="s">
        <v>5</v>
      </c>
      <c r="R492" s="2" t="s">
        <v>5</v>
      </c>
      <c r="U492" s="2"/>
      <c r="V492" s="2" t="s">
        <v>5</v>
      </c>
      <c r="W492" s="2" t="s">
        <v>5</v>
      </c>
      <c r="X492" s="29" t="s">
        <v>5</v>
      </c>
      <c r="Y492" s="30" t="s">
        <v>5</v>
      </c>
      <c r="Z492" s="29" t="s">
        <v>5</v>
      </c>
      <c r="AA492" s="30" t="s">
        <v>5</v>
      </c>
      <c r="AB492" s="29" t="s">
        <v>5</v>
      </c>
      <c r="AC492" s="29" t="s">
        <v>5</v>
      </c>
      <c r="AD492" s="29" t="s">
        <v>5</v>
      </c>
      <c r="AE492" s="29" t="s">
        <v>5</v>
      </c>
      <c r="AF492" s="29" t="s">
        <v>5</v>
      </c>
      <c r="AG492" s="29" t="s">
        <v>5</v>
      </c>
      <c r="AH492" s="2" t="s">
        <v>5</v>
      </c>
      <c r="AI492" s="2" t="s">
        <v>5</v>
      </c>
      <c r="AJ492" s="2" t="s">
        <v>5</v>
      </c>
      <c r="AK492" s="2" t="s">
        <v>5</v>
      </c>
    </row>
    <row r="493" spans="3:37" ht="12.5">
      <c r="C493" s="2" t="str">
        <f ca="1"/>
        <v/>
      </c>
      <c r="D493" s="2" t="str">
        <v/>
      </c>
      <c r="E493" s="29" t="str">
        <v/>
      </c>
      <c r="F493" s="30" t="str">
        <v/>
      </c>
      <c r="G493" s="29" t="str">
        <v/>
      </c>
      <c r="H493" s="30" t="str">
        <v/>
      </c>
      <c r="I493" s="29" t="str">
        <v/>
      </c>
      <c r="J493" s="29" t="str">
        <v/>
      </c>
      <c r="K493" s="29" t="str">
        <v/>
      </c>
      <c r="L493" s="29" t="str">
        <v/>
      </c>
      <c r="M493" s="29" t="str">
        <v/>
      </c>
      <c r="N493" s="29" t="str">
        <v/>
      </c>
      <c r="O493" s="2" t="str">
        <f ca="1"/>
        <v/>
      </c>
      <c r="P493" s="2" t="str">
        <f ca="1"/>
        <v/>
      </c>
      <c r="Q493" s="2" t="s">
        <v>5</v>
      </c>
      <c r="R493" s="2" t="s">
        <v>5</v>
      </c>
      <c r="U493" s="2"/>
      <c r="V493" s="2" t="s">
        <v>5</v>
      </c>
      <c r="W493" s="2" t="s">
        <v>5</v>
      </c>
      <c r="X493" s="29" t="s">
        <v>5</v>
      </c>
      <c r="Y493" s="30" t="s">
        <v>5</v>
      </c>
      <c r="Z493" s="29" t="s">
        <v>5</v>
      </c>
      <c r="AA493" s="30" t="s">
        <v>5</v>
      </c>
      <c r="AB493" s="29" t="s">
        <v>5</v>
      </c>
      <c r="AC493" s="29" t="s">
        <v>5</v>
      </c>
      <c r="AD493" s="29" t="s">
        <v>5</v>
      </c>
      <c r="AE493" s="29" t="s">
        <v>5</v>
      </c>
      <c r="AF493" s="29" t="s">
        <v>5</v>
      </c>
      <c r="AG493" s="29" t="s">
        <v>5</v>
      </c>
      <c r="AH493" s="2" t="s">
        <v>5</v>
      </c>
      <c r="AI493" s="2" t="s">
        <v>5</v>
      </c>
      <c r="AJ493" s="2" t="s">
        <v>5</v>
      </c>
      <c r="AK493" s="2" t="s">
        <v>5</v>
      </c>
    </row>
    <row r="494" spans="3:37" ht="12.5">
      <c r="C494" s="2" t="str">
        <f ca="1"/>
        <v/>
      </c>
      <c r="D494" s="2" t="str">
        <v/>
      </c>
      <c r="E494" s="29" t="str">
        <v/>
      </c>
      <c r="F494" s="30" t="str">
        <v/>
      </c>
      <c r="G494" s="29" t="str">
        <v/>
      </c>
      <c r="H494" s="30" t="str">
        <v/>
      </c>
      <c r="I494" s="29" t="str">
        <v/>
      </c>
      <c r="J494" s="29" t="str">
        <v/>
      </c>
      <c r="K494" s="29" t="str">
        <v/>
      </c>
      <c r="L494" s="29" t="str">
        <v/>
      </c>
      <c r="M494" s="29" t="str">
        <v/>
      </c>
      <c r="N494" s="29" t="str">
        <v/>
      </c>
      <c r="O494" s="2" t="str">
        <f ca="1"/>
        <v/>
      </c>
      <c r="P494" s="2" t="str">
        <f ca="1"/>
        <v/>
      </c>
      <c r="Q494" s="2" t="s">
        <v>5</v>
      </c>
      <c r="R494" s="2" t="s">
        <v>5</v>
      </c>
      <c r="U494" s="2"/>
      <c r="V494" s="2" t="s">
        <v>5</v>
      </c>
      <c r="W494" s="2" t="s">
        <v>5</v>
      </c>
      <c r="X494" s="29" t="s">
        <v>5</v>
      </c>
      <c r="Y494" s="30" t="s">
        <v>5</v>
      </c>
      <c r="Z494" s="29" t="s">
        <v>5</v>
      </c>
      <c r="AA494" s="30" t="s">
        <v>5</v>
      </c>
      <c r="AB494" s="29" t="s">
        <v>5</v>
      </c>
      <c r="AC494" s="29" t="s">
        <v>5</v>
      </c>
      <c r="AD494" s="29" t="s">
        <v>5</v>
      </c>
      <c r="AE494" s="29" t="s">
        <v>5</v>
      </c>
      <c r="AF494" s="29" t="s">
        <v>5</v>
      </c>
      <c r="AG494" s="29" t="s">
        <v>5</v>
      </c>
      <c r="AH494" s="2" t="s">
        <v>5</v>
      </c>
      <c r="AI494" s="2" t="s">
        <v>5</v>
      </c>
      <c r="AJ494" s="2" t="s">
        <v>5</v>
      </c>
      <c r="AK494" s="2" t="s">
        <v>5</v>
      </c>
    </row>
    <row r="495" spans="3:37" ht="12.5">
      <c r="C495" s="2" t="str">
        <f ca="1"/>
        <v/>
      </c>
      <c r="D495" s="2" t="str">
        <v/>
      </c>
      <c r="E495" s="29" t="str">
        <v/>
      </c>
      <c r="F495" s="30" t="str">
        <v/>
      </c>
      <c r="G495" s="29" t="str">
        <v/>
      </c>
      <c r="H495" s="30" t="str">
        <v/>
      </c>
      <c r="I495" s="29" t="str">
        <v/>
      </c>
      <c r="J495" s="29" t="str">
        <v/>
      </c>
      <c r="K495" s="29" t="str">
        <v/>
      </c>
      <c r="L495" s="29" t="str">
        <v/>
      </c>
      <c r="M495" s="29" t="str">
        <v/>
      </c>
      <c r="N495" s="29" t="str">
        <v/>
      </c>
      <c r="O495" s="2" t="str">
        <f ca="1"/>
        <v/>
      </c>
      <c r="P495" s="2" t="str">
        <f ca="1"/>
        <v/>
      </c>
      <c r="Q495" s="2" t="s">
        <v>5</v>
      </c>
      <c r="R495" s="2" t="s">
        <v>5</v>
      </c>
      <c r="U495" s="2"/>
      <c r="V495" s="2" t="s">
        <v>5</v>
      </c>
      <c r="W495" s="2" t="s">
        <v>5</v>
      </c>
      <c r="X495" s="29" t="s">
        <v>5</v>
      </c>
      <c r="Y495" s="30" t="s">
        <v>5</v>
      </c>
      <c r="Z495" s="29" t="s">
        <v>5</v>
      </c>
      <c r="AA495" s="30" t="s">
        <v>5</v>
      </c>
      <c r="AB495" s="29" t="s">
        <v>5</v>
      </c>
      <c r="AC495" s="29" t="s">
        <v>5</v>
      </c>
      <c r="AD495" s="29" t="s">
        <v>5</v>
      </c>
      <c r="AE495" s="29" t="s">
        <v>5</v>
      </c>
      <c r="AF495" s="29" t="s">
        <v>5</v>
      </c>
      <c r="AG495" s="29" t="s">
        <v>5</v>
      </c>
      <c r="AH495" s="2" t="s">
        <v>5</v>
      </c>
      <c r="AI495" s="2" t="s">
        <v>5</v>
      </c>
      <c r="AJ495" s="2" t="s">
        <v>5</v>
      </c>
      <c r="AK495" s="2" t="s">
        <v>5</v>
      </c>
    </row>
    <row r="496" spans="3:37" ht="12.5">
      <c r="C496" s="2" t="str">
        <f ca="1"/>
        <v/>
      </c>
      <c r="D496" s="2" t="str">
        <v/>
      </c>
      <c r="E496" s="29" t="str">
        <v/>
      </c>
      <c r="F496" s="30" t="str">
        <v/>
      </c>
      <c r="G496" s="29" t="str">
        <v/>
      </c>
      <c r="H496" s="30" t="str">
        <v/>
      </c>
      <c r="I496" s="29" t="str">
        <v/>
      </c>
      <c r="J496" s="29" t="str">
        <v/>
      </c>
      <c r="K496" s="29" t="str">
        <v/>
      </c>
      <c r="L496" s="29" t="str">
        <v/>
      </c>
      <c r="M496" s="29" t="str">
        <v/>
      </c>
      <c r="N496" s="29" t="str">
        <v/>
      </c>
      <c r="O496" s="2" t="str">
        <f ca="1"/>
        <v/>
      </c>
      <c r="P496" s="2" t="str">
        <f ca="1"/>
        <v/>
      </c>
      <c r="Q496" s="2" t="s">
        <v>5</v>
      </c>
      <c r="R496" s="2" t="s">
        <v>5</v>
      </c>
      <c r="U496" s="2"/>
      <c r="V496" s="2" t="s">
        <v>5</v>
      </c>
      <c r="W496" s="2" t="s">
        <v>5</v>
      </c>
      <c r="X496" s="29" t="s">
        <v>5</v>
      </c>
      <c r="Y496" s="30" t="s">
        <v>5</v>
      </c>
      <c r="Z496" s="29" t="s">
        <v>5</v>
      </c>
      <c r="AA496" s="30" t="s">
        <v>5</v>
      </c>
      <c r="AB496" s="29" t="s">
        <v>5</v>
      </c>
      <c r="AC496" s="29" t="s">
        <v>5</v>
      </c>
      <c r="AD496" s="29" t="s">
        <v>5</v>
      </c>
      <c r="AE496" s="29" t="s">
        <v>5</v>
      </c>
      <c r="AF496" s="29" t="s">
        <v>5</v>
      </c>
      <c r="AG496" s="29" t="s">
        <v>5</v>
      </c>
      <c r="AH496" s="2" t="s">
        <v>5</v>
      </c>
      <c r="AI496" s="2" t="s">
        <v>5</v>
      </c>
      <c r="AJ496" s="2" t="s">
        <v>5</v>
      </c>
      <c r="AK496" s="2" t="s">
        <v>5</v>
      </c>
    </row>
    <row r="497" spans="3:37" ht="12.5">
      <c r="C497" s="2" t="str">
        <f ca="1"/>
        <v/>
      </c>
      <c r="D497" s="2" t="str">
        <v/>
      </c>
      <c r="E497" s="29" t="str">
        <v/>
      </c>
      <c r="F497" s="30" t="str">
        <v/>
      </c>
      <c r="G497" s="29" t="str">
        <v/>
      </c>
      <c r="H497" s="30" t="str">
        <v/>
      </c>
      <c r="I497" s="29" t="str">
        <v/>
      </c>
      <c r="J497" s="29" t="str">
        <v/>
      </c>
      <c r="K497" s="29" t="str">
        <v/>
      </c>
      <c r="L497" s="29" t="str">
        <v/>
      </c>
      <c r="M497" s="29" t="str">
        <v/>
      </c>
      <c r="N497" s="29" t="str">
        <v/>
      </c>
      <c r="O497" s="2" t="str">
        <f ca="1"/>
        <v/>
      </c>
      <c r="P497" s="2" t="str">
        <f ca="1"/>
        <v/>
      </c>
      <c r="Q497" s="2" t="s">
        <v>5</v>
      </c>
      <c r="R497" s="2" t="s">
        <v>5</v>
      </c>
      <c r="U497" s="2"/>
      <c r="V497" s="2" t="s">
        <v>5</v>
      </c>
      <c r="W497" s="2" t="s">
        <v>5</v>
      </c>
      <c r="X497" s="29" t="s">
        <v>5</v>
      </c>
      <c r="Y497" s="30" t="s">
        <v>5</v>
      </c>
      <c r="Z497" s="29" t="s">
        <v>5</v>
      </c>
      <c r="AA497" s="30" t="s">
        <v>5</v>
      </c>
      <c r="AB497" s="29" t="s">
        <v>5</v>
      </c>
      <c r="AC497" s="29" t="s">
        <v>5</v>
      </c>
      <c r="AD497" s="29" t="s">
        <v>5</v>
      </c>
      <c r="AE497" s="29" t="s">
        <v>5</v>
      </c>
      <c r="AF497" s="29" t="s">
        <v>5</v>
      </c>
      <c r="AG497" s="29" t="s">
        <v>5</v>
      </c>
      <c r="AH497" s="2" t="s">
        <v>5</v>
      </c>
      <c r="AI497" s="2" t="s">
        <v>5</v>
      </c>
      <c r="AJ497" s="2" t="s">
        <v>5</v>
      </c>
      <c r="AK497" s="2" t="s">
        <v>5</v>
      </c>
    </row>
    <row r="498" spans="3:37" ht="12.5">
      <c r="C498" s="2" t="str">
        <f ca="1"/>
        <v/>
      </c>
      <c r="D498" s="2" t="str">
        <v/>
      </c>
      <c r="E498" s="29" t="str">
        <v/>
      </c>
      <c r="F498" s="30" t="str">
        <v/>
      </c>
      <c r="G498" s="29" t="str">
        <v/>
      </c>
      <c r="H498" s="30" t="str">
        <v/>
      </c>
      <c r="I498" s="29" t="str">
        <v/>
      </c>
      <c r="J498" s="29" t="str">
        <v/>
      </c>
      <c r="K498" s="29" t="str">
        <v/>
      </c>
      <c r="L498" s="29" t="str">
        <v/>
      </c>
      <c r="M498" s="29" t="str">
        <v/>
      </c>
      <c r="N498" s="29" t="str">
        <v/>
      </c>
      <c r="O498" s="2" t="str">
        <f ca="1"/>
        <v/>
      </c>
      <c r="P498" s="2" t="str">
        <f ca="1"/>
        <v/>
      </c>
      <c r="Q498" s="2" t="s">
        <v>5</v>
      </c>
      <c r="R498" s="2" t="s">
        <v>5</v>
      </c>
      <c r="U498" s="2"/>
      <c r="V498" s="2" t="s">
        <v>5</v>
      </c>
      <c r="W498" s="2" t="s">
        <v>5</v>
      </c>
      <c r="X498" s="29" t="s">
        <v>5</v>
      </c>
      <c r="Y498" s="30" t="s">
        <v>5</v>
      </c>
      <c r="Z498" s="29" t="s">
        <v>5</v>
      </c>
      <c r="AA498" s="30" t="s">
        <v>5</v>
      </c>
      <c r="AB498" s="29" t="s">
        <v>5</v>
      </c>
      <c r="AC498" s="29" t="s">
        <v>5</v>
      </c>
      <c r="AD498" s="29" t="s">
        <v>5</v>
      </c>
      <c r="AE498" s="29" t="s">
        <v>5</v>
      </c>
      <c r="AF498" s="29" t="s">
        <v>5</v>
      </c>
      <c r="AG498" s="29" t="s">
        <v>5</v>
      </c>
      <c r="AH498" s="2" t="s">
        <v>5</v>
      </c>
      <c r="AI498" s="2" t="s">
        <v>5</v>
      </c>
      <c r="AJ498" s="2" t="s">
        <v>5</v>
      </c>
      <c r="AK498" s="2" t="s">
        <v>5</v>
      </c>
    </row>
    <row r="499" spans="3:37" ht="12.5">
      <c r="C499" s="2" t="str">
        <f ca="1"/>
        <v/>
      </c>
      <c r="D499" s="2" t="str">
        <v/>
      </c>
      <c r="E499" s="29" t="str">
        <v/>
      </c>
      <c r="F499" s="30" t="str">
        <v/>
      </c>
      <c r="G499" s="29" t="str">
        <v/>
      </c>
      <c r="H499" s="30" t="str">
        <v/>
      </c>
      <c r="I499" s="29" t="str">
        <v/>
      </c>
      <c r="J499" s="29" t="str">
        <v/>
      </c>
      <c r="K499" s="29" t="str">
        <v/>
      </c>
      <c r="L499" s="29" t="str">
        <v/>
      </c>
      <c r="M499" s="29" t="str">
        <v/>
      </c>
      <c r="N499" s="29" t="str">
        <v/>
      </c>
      <c r="O499" s="2" t="str">
        <f ca="1"/>
        <v/>
      </c>
      <c r="P499" s="2" t="str">
        <f ca="1"/>
        <v/>
      </c>
      <c r="Q499" s="2" t="s">
        <v>5</v>
      </c>
      <c r="R499" s="2" t="s">
        <v>5</v>
      </c>
      <c r="U499" s="2"/>
      <c r="V499" s="2" t="s">
        <v>5</v>
      </c>
      <c r="W499" s="2" t="s">
        <v>5</v>
      </c>
      <c r="X499" s="29" t="s">
        <v>5</v>
      </c>
      <c r="Y499" s="30" t="s">
        <v>5</v>
      </c>
      <c r="Z499" s="29" t="s">
        <v>5</v>
      </c>
      <c r="AA499" s="30" t="s">
        <v>5</v>
      </c>
      <c r="AB499" s="29" t="s">
        <v>5</v>
      </c>
      <c r="AC499" s="29" t="s">
        <v>5</v>
      </c>
      <c r="AD499" s="29" t="s">
        <v>5</v>
      </c>
      <c r="AE499" s="29" t="s">
        <v>5</v>
      </c>
      <c r="AF499" s="29" t="s">
        <v>5</v>
      </c>
      <c r="AG499" s="29" t="s">
        <v>5</v>
      </c>
      <c r="AH499" s="2" t="s">
        <v>5</v>
      </c>
      <c r="AI499" s="2" t="s">
        <v>5</v>
      </c>
      <c r="AJ499" s="2" t="s">
        <v>5</v>
      </c>
      <c r="AK499" s="2" t="s">
        <v>5</v>
      </c>
    </row>
    <row r="500" spans="3:37" ht="12.5">
      <c r="C500" s="2" t="str">
        <f ca="1"/>
        <v/>
      </c>
      <c r="D500" s="2" t="str">
        <v/>
      </c>
      <c r="E500" s="29" t="str">
        <v/>
      </c>
      <c r="F500" s="30" t="str">
        <v/>
      </c>
      <c r="G500" s="29" t="str">
        <v/>
      </c>
      <c r="H500" s="30" t="str">
        <v/>
      </c>
      <c r="I500" s="29" t="str">
        <v/>
      </c>
      <c r="J500" s="29" t="str">
        <v/>
      </c>
      <c r="K500" s="29" t="str">
        <v/>
      </c>
      <c r="L500" s="29" t="str">
        <v/>
      </c>
      <c r="M500" s="29" t="str">
        <v/>
      </c>
      <c r="N500" s="29" t="str">
        <v/>
      </c>
      <c r="O500" s="2" t="str">
        <f ca="1"/>
        <v/>
      </c>
      <c r="P500" s="2" t="str">
        <f ca="1"/>
        <v/>
      </c>
      <c r="Q500" s="2" t="s">
        <v>5</v>
      </c>
      <c r="R500" s="2" t="s">
        <v>5</v>
      </c>
      <c r="U500" s="2"/>
      <c r="V500" s="2" t="s">
        <v>5</v>
      </c>
      <c r="W500" s="2" t="s">
        <v>5</v>
      </c>
      <c r="X500" s="29" t="s">
        <v>5</v>
      </c>
      <c r="Y500" s="30" t="s">
        <v>5</v>
      </c>
      <c r="Z500" s="29" t="s">
        <v>5</v>
      </c>
      <c r="AA500" s="30" t="s">
        <v>5</v>
      </c>
      <c r="AB500" s="29" t="s">
        <v>5</v>
      </c>
      <c r="AC500" s="29" t="s">
        <v>5</v>
      </c>
      <c r="AD500" s="29" t="s">
        <v>5</v>
      </c>
      <c r="AE500" s="29" t="s">
        <v>5</v>
      </c>
      <c r="AF500" s="29" t="s">
        <v>5</v>
      </c>
      <c r="AG500" s="29" t="s">
        <v>5</v>
      </c>
      <c r="AH500" s="2" t="s">
        <v>5</v>
      </c>
      <c r="AI500" s="2" t="s">
        <v>5</v>
      </c>
      <c r="AJ500" s="2" t="s">
        <v>5</v>
      </c>
      <c r="AK500" s="2" t="s">
        <v>5</v>
      </c>
    </row>
    <row r="501" spans="3:37" ht="12.5">
      <c r="C501" s="2" t="str">
        <f ca="1"/>
        <v/>
      </c>
      <c r="D501" s="2" t="str">
        <v/>
      </c>
      <c r="E501" s="29" t="str">
        <v/>
      </c>
      <c r="F501" s="30" t="str">
        <v/>
      </c>
      <c r="G501" s="29" t="str">
        <v/>
      </c>
      <c r="H501" s="30" t="str">
        <v/>
      </c>
      <c r="I501" s="29" t="str">
        <v/>
      </c>
      <c r="J501" s="29" t="str">
        <v/>
      </c>
      <c r="K501" s="29" t="str">
        <v/>
      </c>
      <c r="L501" s="29" t="str">
        <v/>
      </c>
      <c r="M501" s="29" t="str">
        <v/>
      </c>
      <c r="N501" s="29" t="str">
        <v/>
      </c>
      <c r="O501" s="2" t="str">
        <f ca="1"/>
        <v/>
      </c>
      <c r="P501" s="2" t="str">
        <f ca="1"/>
        <v/>
      </c>
      <c r="Q501" s="2" t="s">
        <v>5</v>
      </c>
      <c r="R501" s="2" t="s">
        <v>5</v>
      </c>
      <c r="U501" s="2"/>
      <c r="V501" s="2" t="s">
        <v>5</v>
      </c>
      <c r="W501" s="2" t="s">
        <v>5</v>
      </c>
      <c r="X501" s="29" t="s">
        <v>5</v>
      </c>
      <c r="Y501" s="30" t="s">
        <v>5</v>
      </c>
      <c r="Z501" s="29" t="s">
        <v>5</v>
      </c>
      <c r="AA501" s="30" t="s">
        <v>5</v>
      </c>
      <c r="AB501" s="29" t="s">
        <v>5</v>
      </c>
      <c r="AC501" s="29" t="s">
        <v>5</v>
      </c>
      <c r="AD501" s="29" t="s">
        <v>5</v>
      </c>
      <c r="AE501" s="29" t="s">
        <v>5</v>
      </c>
      <c r="AF501" s="29" t="s">
        <v>5</v>
      </c>
      <c r="AG501" s="29" t="s">
        <v>5</v>
      </c>
      <c r="AH501" s="2" t="s">
        <v>5</v>
      </c>
      <c r="AI501" s="2" t="s">
        <v>5</v>
      </c>
      <c r="AJ501" s="2" t="s">
        <v>5</v>
      </c>
      <c r="AK501" s="2" t="s">
        <v>5</v>
      </c>
    </row>
    <row r="502" spans="3:37" ht="12.5">
      <c r="C502" s="2" t="str">
        <f ca="1"/>
        <v/>
      </c>
      <c r="D502" s="2" t="str">
        <v/>
      </c>
      <c r="E502" s="29" t="str">
        <v/>
      </c>
      <c r="F502" s="30" t="str">
        <v/>
      </c>
      <c r="G502" s="29" t="str">
        <v/>
      </c>
      <c r="H502" s="30" t="str">
        <v/>
      </c>
      <c r="I502" s="29" t="str">
        <v/>
      </c>
      <c r="J502" s="29" t="str">
        <v/>
      </c>
      <c r="K502" s="29" t="str">
        <v/>
      </c>
      <c r="L502" s="29" t="str">
        <v/>
      </c>
      <c r="M502" s="29" t="str">
        <v/>
      </c>
      <c r="N502" s="29" t="str">
        <v/>
      </c>
      <c r="O502" s="2" t="str">
        <f ca="1"/>
        <v/>
      </c>
      <c r="P502" s="2" t="str">
        <f ca="1"/>
        <v/>
      </c>
      <c r="Q502" s="2" t="s">
        <v>5</v>
      </c>
      <c r="R502" s="2" t="s">
        <v>5</v>
      </c>
      <c r="U502" s="2"/>
      <c r="V502" s="2" t="s">
        <v>5</v>
      </c>
      <c r="W502" s="2" t="s">
        <v>5</v>
      </c>
      <c r="X502" s="29" t="s">
        <v>5</v>
      </c>
      <c r="Y502" s="30" t="s">
        <v>5</v>
      </c>
      <c r="Z502" s="29" t="s">
        <v>5</v>
      </c>
      <c r="AA502" s="30" t="s">
        <v>5</v>
      </c>
      <c r="AB502" s="29" t="s">
        <v>5</v>
      </c>
      <c r="AC502" s="29" t="s">
        <v>5</v>
      </c>
      <c r="AD502" s="29" t="s">
        <v>5</v>
      </c>
      <c r="AE502" s="29" t="s">
        <v>5</v>
      </c>
      <c r="AF502" s="29" t="s">
        <v>5</v>
      </c>
      <c r="AG502" s="29" t="s">
        <v>5</v>
      </c>
      <c r="AH502" s="2" t="s">
        <v>5</v>
      </c>
      <c r="AI502" s="2" t="s">
        <v>5</v>
      </c>
      <c r="AJ502" s="2" t="s">
        <v>5</v>
      </c>
      <c r="AK502" s="2" t="s">
        <v>5</v>
      </c>
    </row>
    <row r="503" spans="3:37" ht="12.5">
      <c r="C503" s="2" t="str">
        <f ca="1"/>
        <v/>
      </c>
      <c r="D503" s="2" t="str">
        <v/>
      </c>
      <c r="E503" s="29" t="str">
        <v/>
      </c>
      <c r="F503" s="30" t="str">
        <v/>
      </c>
      <c r="G503" s="29" t="str">
        <v/>
      </c>
      <c r="H503" s="30" t="str">
        <v/>
      </c>
      <c r="I503" s="29" t="str">
        <v/>
      </c>
      <c r="J503" s="29" t="str">
        <v/>
      </c>
      <c r="K503" s="29" t="str">
        <v/>
      </c>
      <c r="L503" s="29" t="str">
        <v/>
      </c>
      <c r="M503" s="29" t="str">
        <v/>
      </c>
      <c r="N503" s="29" t="str">
        <v/>
      </c>
      <c r="O503" s="2" t="str">
        <f ca="1"/>
        <v/>
      </c>
      <c r="P503" s="2" t="str">
        <f ca="1"/>
        <v/>
      </c>
      <c r="Q503" s="2" t="s">
        <v>5</v>
      </c>
      <c r="R503" s="2" t="s">
        <v>5</v>
      </c>
      <c r="U503" s="2"/>
      <c r="V503" s="2" t="s">
        <v>5</v>
      </c>
      <c r="W503" s="2" t="s">
        <v>5</v>
      </c>
      <c r="X503" s="29" t="s">
        <v>5</v>
      </c>
      <c r="Y503" s="30" t="s">
        <v>5</v>
      </c>
      <c r="Z503" s="29" t="s">
        <v>5</v>
      </c>
      <c r="AA503" s="30" t="s">
        <v>5</v>
      </c>
      <c r="AB503" s="29" t="s">
        <v>5</v>
      </c>
      <c r="AC503" s="29" t="s">
        <v>5</v>
      </c>
      <c r="AD503" s="29" t="s">
        <v>5</v>
      </c>
      <c r="AE503" s="29" t="s">
        <v>5</v>
      </c>
      <c r="AF503" s="29" t="s">
        <v>5</v>
      </c>
      <c r="AG503" s="29" t="s">
        <v>5</v>
      </c>
      <c r="AH503" s="2" t="s">
        <v>5</v>
      </c>
      <c r="AI503" s="2" t="s">
        <v>5</v>
      </c>
      <c r="AJ503" s="2" t="s">
        <v>5</v>
      </c>
      <c r="AK503" s="2" t="s">
        <v>5</v>
      </c>
    </row>
    <row r="504" spans="3:37" ht="12.5">
      <c r="C504" s="2" t="str">
        <f ca="1"/>
        <v/>
      </c>
      <c r="D504" s="2" t="str">
        <v/>
      </c>
      <c r="E504" s="29" t="str">
        <v/>
      </c>
      <c r="F504" s="30" t="str">
        <v/>
      </c>
      <c r="G504" s="29" t="str">
        <v/>
      </c>
      <c r="H504" s="30" t="str">
        <v/>
      </c>
      <c r="I504" s="29" t="str">
        <v/>
      </c>
      <c r="J504" s="29" t="str">
        <v/>
      </c>
      <c r="K504" s="29" t="str">
        <v/>
      </c>
      <c r="L504" s="29" t="str">
        <v/>
      </c>
      <c r="M504" s="29" t="str">
        <v/>
      </c>
      <c r="N504" s="29" t="str">
        <v/>
      </c>
      <c r="O504" s="2" t="str">
        <f ca="1"/>
        <v/>
      </c>
      <c r="P504" s="2" t="str">
        <f ca="1"/>
        <v/>
      </c>
      <c r="Q504" s="2" t="s">
        <v>5</v>
      </c>
      <c r="R504" s="2" t="s">
        <v>5</v>
      </c>
      <c r="U504" s="2"/>
      <c r="V504" s="2" t="s">
        <v>5</v>
      </c>
      <c r="W504" s="2" t="s">
        <v>5</v>
      </c>
      <c r="X504" s="29" t="s">
        <v>5</v>
      </c>
      <c r="Y504" s="30" t="s">
        <v>5</v>
      </c>
      <c r="Z504" s="29" t="s">
        <v>5</v>
      </c>
      <c r="AA504" s="30" t="s">
        <v>5</v>
      </c>
      <c r="AB504" s="29" t="s">
        <v>5</v>
      </c>
      <c r="AC504" s="29" t="s">
        <v>5</v>
      </c>
      <c r="AD504" s="29" t="s">
        <v>5</v>
      </c>
      <c r="AE504" s="29" t="s">
        <v>5</v>
      </c>
      <c r="AF504" s="29" t="s">
        <v>5</v>
      </c>
      <c r="AG504" s="29" t="s">
        <v>5</v>
      </c>
      <c r="AH504" s="2" t="s">
        <v>5</v>
      </c>
      <c r="AI504" s="2" t="s">
        <v>5</v>
      </c>
      <c r="AJ504" s="2" t="s">
        <v>5</v>
      </c>
      <c r="AK504" s="2" t="s">
        <v>5</v>
      </c>
    </row>
    <row r="505" spans="3:37" ht="12.5">
      <c r="C505" s="2" t="str">
        <f ca="1"/>
        <v/>
      </c>
      <c r="D505" s="2" t="str">
        <v/>
      </c>
      <c r="E505" s="29" t="str">
        <v/>
      </c>
      <c r="F505" s="30" t="str">
        <v/>
      </c>
      <c r="G505" s="29" t="str">
        <v/>
      </c>
      <c r="H505" s="30" t="str">
        <v/>
      </c>
      <c r="I505" s="29" t="str">
        <v/>
      </c>
      <c r="J505" s="29" t="str">
        <v/>
      </c>
      <c r="K505" s="29" t="str">
        <v/>
      </c>
      <c r="L505" s="29" t="str">
        <v/>
      </c>
      <c r="M505" s="29" t="str">
        <v/>
      </c>
      <c r="N505" s="29" t="str">
        <v/>
      </c>
      <c r="O505" s="2" t="str">
        <f ca="1"/>
        <v/>
      </c>
      <c r="P505" s="2" t="str">
        <f ca="1"/>
        <v/>
      </c>
      <c r="Q505" s="2" t="s">
        <v>5</v>
      </c>
      <c r="R505" s="2" t="s">
        <v>5</v>
      </c>
      <c r="U505" s="2"/>
      <c r="V505" s="2" t="s">
        <v>5</v>
      </c>
      <c r="W505" s="2" t="s">
        <v>5</v>
      </c>
      <c r="X505" s="29" t="s">
        <v>5</v>
      </c>
      <c r="Y505" s="30" t="s">
        <v>5</v>
      </c>
      <c r="Z505" s="29" t="s">
        <v>5</v>
      </c>
      <c r="AA505" s="30" t="s">
        <v>5</v>
      </c>
      <c r="AB505" s="29" t="s">
        <v>5</v>
      </c>
      <c r="AC505" s="29" t="s">
        <v>5</v>
      </c>
      <c r="AD505" s="29" t="s">
        <v>5</v>
      </c>
      <c r="AE505" s="29" t="s">
        <v>5</v>
      </c>
      <c r="AF505" s="29" t="s">
        <v>5</v>
      </c>
      <c r="AG505" s="29" t="s">
        <v>5</v>
      </c>
      <c r="AH505" s="2" t="s">
        <v>5</v>
      </c>
      <c r="AI505" s="2" t="s">
        <v>5</v>
      </c>
      <c r="AJ505" s="2" t="s">
        <v>5</v>
      </c>
      <c r="AK505" s="2" t="s">
        <v>5</v>
      </c>
    </row>
    <row r="506" spans="3:37" ht="12.5">
      <c r="C506" s="2" t="str">
        <f ca="1"/>
        <v/>
      </c>
      <c r="D506" s="2" t="str">
        <v/>
      </c>
      <c r="E506" s="29" t="str">
        <v/>
      </c>
      <c r="F506" s="30" t="str">
        <v/>
      </c>
      <c r="G506" s="29" t="str">
        <v/>
      </c>
      <c r="H506" s="30" t="str">
        <v/>
      </c>
      <c r="I506" s="29" t="str">
        <v/>
      </c>
      <c r="J506" s="29" t="str">
        <v/>
      </c>
      <c r="K506" s="29" t="str">
        <v/>
      </c>
      <c r="L506" s="29" t="str">
        <v/>
      </c>
      <c r="M506" s="29" t="str">
        <v/>
      </c>
      <c r="N506" s="29" t="str">
        <v/>
      </c>
      <c r="O506" s="2" t="str">
        <f ca="1"/>
        <v/>
      </c>
      <c r="P506" s="2" t="str">
        <f ca="1"/>
        <v/>
      </c>
      <c r="Q506" s="2" t="s">
        <v>5</v>
      </c>
      <c r="R506" s="2" t="s">
        <v>5</v>
      </c>
      <c r="U506" s="2" t="s">
        <v>3</v>
      </c>
      <c r="V506" s="2" t="e">
        <v>#N/A</v>
      </c>
      <c r="W506" s="31">
        <v>7500</v>
      </c>
      <c r="X506" s="29">
        <v>2500</v>
      </c>
      <c r="Y506" s="30">
        <v>1</v>
      </c>
      <c r="Z506" s="29">
        <v>5000</v>
      </c>
      <c r="AA506" s="30">
        <v>2</v>
      </c>
      <c r="AB506" s="29">
        <v>2000</v>
      </c>
      <c r="AC506" s="30">
        <v>1</v>
      </c>
      <c r="AD506" s="29">
        <v>6000</v>
      </c>
      <c r="AE506" s="30">
        <v>3</v>
      </c>
      <c r="AF506" s="29">
        <v>0</v>
      </c>
      <c r="AG506" s="30">
        <v>0</v>
      </c>
      <c r="AH506" s="2" t="e">
        <v>#N/A</v>
      </c>
      <c r="AI506" s="2" t="e">
        <v>#N/A</v>
      </c>
      <c r="AJ506" s="2" t="s">
        <v>5</v>
      </c>
      <c r="AK506" s="2" t="s">
        <v>5</v>
      </c>
    </row>
    <row r="507" spans="3:37" ht="12.5">
      <c r="C507" s="2" t="str">
        <f ca="1"/>
        <v/>
      </c>
      <c r="D507" s="2" t="str">
        <v/>
      </c>
      <c r="E507" s="29" t="str">
        <v/>
      </c>
      <c r="F507" s="30" t="str">
        <v/>
      </c>
      <c r="G507" s="29" t="str">
        <v/>
      </c>
      <c r="H507" s="30" t="str">
        <v/>
      </c>
      <c r="I507" s="29" t="str">
        <v/>
      </c>
      <c r="J507" s="29" t="str">
        <v/>
      </c>
      <c r="K507" s="29" t="str">
        <v/>
      </c>
      <c r="L507" s="29" t="str">
        <v/>
      </c>
      <c r="M507" s="29" t="str">
        <v/>
      </c>
      <c r="N507" s="29" t="str">
        <v/>
      </c>
      <c r="O507" s="2" t="str">
        <f ca="1"/>
        <v/>
      </c>
      <c r="P507" s="2" t="str">
        <f ca="1"/>
        <v/>
      </c>
      <c r="Q507" s="2" t="s">
        <v>5</v>
      </c>
      <c r="R507" s="2" t="s">
        <v>5</v>
      </c>
      <c r="U507" s="2" t="s">
        <v>4</v>
      </c>
      <c r="V507" s="2" t="e">
        <v>#N/A</v>
      </c>
      <c r="W507" s="31">
        <v>2500</v>
      </c>
      <c r="X507" s="29">
        <v>2500</v>
      </c>
      <c r="Y507" s="30">
        <v>1</v>
      </c>
      <c r="Z507" s="29">
        <v>0</v>
      </c>
      <c r="AA507" s="30">
        <v>0</v>
      </c>
      <c r="AB507" s="29">
        <v>0</v>
      </c>
      <c r="AC507" s="30">
        <v>0</v>
      </c>
      <c r="AD507" s="29">
        <v>0</v>
      </c>
      <c r="AE507" s="30">
        <v>0</v>
      </c>
      <c r="AF507" s="29">
        <v>0</v>
      </c>
      <c r="AG507" s="30">
        <v>0</v>
      </c>
      <c r="AH507" s="2" t="e">
        <v>#N/A</v>
      </c>
      <c r="AI507" s="2" t="e">
        <v>#N/A</v>
      </c>
      <c r="AJ507" s="2" t="s">
        <v>5</v>
      </c>
      <c r="AK507" s="2" t="s">
        <v>5</v>
      </c>
    </row>
    <row r="508" spans="3:37" ht="12.5">
      <c r="C508" s="2" t="str">
        <f ca="1"/>
        <v/>
      </c>
      <c r="D508" s="2" t="str">
        <v/>
      </c>
      <c r="E508" s="29" t="str">
        <v/>
      </c>
      <c r="F508" s="30" t="str">
        <v/>
      </c>
      <c r="G508" s="29" t="str">
        <v/>
      </c>
      <c r="H508" s="30" t="str">
        <v/>
      </c>
      <c r="I508" s="29" t="str">
        <v/>
      </c>
      <c r="J508" s="29" t="str">
        <v/>
      </c>
      <c r="K508" s="29" t="str">
        <v/>
      </c>
      <c r="L508" s="29" t="str">
        <v/>
      </c>
      <c r="M508" s="29" t="str">
        <v/>
      </c>
      <c r="N508" s="29" t="str">
        <v/>
      </c>
      <c r="O508" s="2" t="str">
        <f ca="1"/>
        <v/>
      </c>
      <c r="P508" s="2" t="str">
        <f ca="1"/>
        <v/>
      </c>
      <c r="Q508" s="2" t="s">
        <v>5</v>
      </c>
      <c r="R508" s="2" t="s">
        <v>5</v>
      </c>
      <c r="U508" s="2" t="s">
        <v>6</v>
      </c>
      <c r="V508" s="2" t="e">
        <v>#N/A</v>
      </c>
      <c r="W508" s="31">
        <v>2500</v>
      </c>
      <c r="X508" s="29">
        <v>2500</v>
      </c>
      <c r="Y508" s="30">
        <v>1</v>
      </c>
      <c r="Z508" s="29">
        <v>0</v>
      </c>
      <c r="AA508" s="30">
        <v>0</v>
      </c>
      <c r="AB508" s="29">
        <v>2000</v>
      </c>
      <c r="AC508" s="30">
        <v>1</v>
      </c>
      <c r="AD508" s="29">
        <v>0</v>
      </c>
      <c r="AE508" s="30">
        <v>0</v>
      </c>
      <c r="AF508" s="29">
        <v>0</v>
      </c>
      <c r="AG508" s="30">
        <v>0</v>
      </c>
      <c r="AH508" s="2" t="e">
        <v>#N/A</v>
      </c>
      <c r="AI508" s="2" t="e">
        <v>#N/A</v>
      </c>
      <c r="AJ508" s="2" t="s">
        <v>5</v>
      </c>
      <c r="AK508" s="2" t="s">
        <v>5</v>
      </c>
    </row>
    <row r="509" spans="3:37" ht="12.5">
      <c r="C509" s="2" t="str">
        <f ca="1"/>
        <v/>
      </c>
      <c r="D509" s="2" t="str">
        <v/>
      </c>
      <c r="E509" s="29" t="str">
        <v/>
      </c>
      <c r="F509" s="30" t="str">
        <v/>
      </c>
      <c r="G509" s="29" t="str">
        <v/>
      </c>
      <c r="H509" s="30" t="str">
        <v/>
      </c>
      <c r="I509" s="29" t="str">
        <v/>
      </c>
      <c r="J509" s="29" t="str">
        <v/>
      </c>
      <c r="K509" s="29" t="str">
        <v/>
      </c>
      <c r="L509" s="29" t="str">
        <v/>
      </c>
      <c r="M509" s="29" t="str">
        <v/>
      </c>
      <c r="N509" s="29" t="str">
        <v/>
      </c>
      <c r="O509" s="2" t="str">
        <f ca="1"/>
        <v/>
      </c>
      <c r="P509" s="2" t="str">
        <f ca="1"/>
        <v/>
      </c>
      <c r="Q509" s="2" t="s">
        <v>5</v>
      </c>
      <c r="R509" s="2" t="s">
        <v>5</v>
      </c>
      <c r="U509" s="2" t="s">
        <v>8</v>
      </c>
      <c r="V509" s="2" t="e">
        <v>#N/A</v>
      </c>
      <c r="W509" s="31">
        <v>5000</v>
      </c>
      <c r="X509" s="29">
        <v>2500</v>
      </c>
      <c r="Y509" s="30">
        <v>1</v>
      </c>
      <c r="Z509" s="29">
        <v>2500</v>
      </c>
      <c r="AA509" s="30">
        <v>1</v>
      </c>
      <c r="AB509" s="29">
        <v>0</v>
      </c>
      <c r="AC509" s="30">
        <v>0</v>
      </c>
      <c r="AD509" s="29">
        <v>4000</v>
      </c>
      <c r="AE509" s="30">
        <v>2</v>
      </c>
      <c r="AF509" s="29">
        <v>0</v>
      </c>
      <c r="AG509" s="30">
        <v>0</v>
      </c>
      <c r="AH509" s="2" t="e">
        <v>#N/A</v>
      </c>
      <c r="AI509" s="2" t="e">
        <v>#N/A</v>
      </c>
      <c r="AJ509" s="2" t="s">
        <v>5</v>
      </c>
      <c r="AK509" s="2" t="s">
        <v>5</v>
      </c>
    </row>
    <row r="510" spans="3:37" ht="12.5">
      <c r="C510" s="2" t="str">
        <f ca="1"/>
        <v/>
      </c>
      <c r="D510" s="2" t="str">
        <v/>
      </c>
      <c r="E510" s="29" t="str">
        <v/>
      </c>
      <c r="F510" s="30" t="str">
        <v/>
      </c>
      <c r="G510" s="29" t="str">
        <v/>
      </c>
      <c r="H510" s="30" t="str">
        <v/>
      </c>
      <c r="I510" s="29" t="str">
        <v/>
      </c>
      <c r="J510" s="29" t="str">
        <v/>
      </c>
      <c r="K510" s="29" t="str">
        <v/>
      </c>
      <c r="L510" s="29" t="str">
        <v/>
      </c>
      <c r="M510" s="29" t="str">
        <v/>
      </c>
      <c r="N510" s="29" t="str">
        <v/>
      </c>
      <c r="O510" s="2" t="str">
        <f ca="1"/>
        <v/>
      </c>
      <c r="P510" s="2" t="str">
        <f ca="1"/>
        <v/>
      </c>
      <c r="Q510" s="2" t="s">
        <v>5</v>
      </c>
      <c r="R510" s="2" t="s">
        <v>5</v>
      </c>
      <c r="U510" s="2" t="s">
        <v>9</v>
      </c>
      <c r="V510" s="2" t="e">
        <v>#N/A</v>
      </c>
      <c r="W510" s="31">
        <v>17500</v>
      </c>
      <c r="X510" s="29">
        <v>2500</v>
      </c>
      <c r="Y510" s="30">
        <v>1</v>
      </c>
      <c r="Z510" s="29">
        <v>15000</v>
      </c>
      <c r="AA510" s="30">
        <v>6</v>
      </c>
      <c r="AB510" s="29">
        <v>18000</v>
      </c>
      <c r="AC510" s="30">
        <v>9</v>
      </c>
      <c r="AD510" s="29">
        <v>10000</v>
      </c>
      <c r="AE510" s="30">
        <v>5</v>
      </c>
      <c r="AF510" s="29">
        <v>0</v>
      </c>
      <c r="AG510" s="30">
        <v>0</v>
      </c>
      <c r="AH510" s="2" t="e">
        <v>#N/A</v>
      </c>
      <c r="AI510" s="2" t="e">
        <v>#N/A</v>
      </c>
      <c r="AJ510" s="2" t="s">
        <v>5</v>
      </c>
      <c r="AK510" s="2" t="s">
        <v>5</v>
      </c>
    </row>
    <row r="511" spans="3:37" ht="12.5">
      <c r="C511" s="2" t="str">
        <f ca="1"/>
        <v/>
      </c>
      <c r="D511" s="2" t="str">
        <v/>
      </c>
      <c r="E511" s="29" t="str">
        <v/>
      </c>
      <c r="F511" s="30" t="str">
        <v/>
      </c>
      <c r="G511" s="29" t="str">
        <v/>
      </c>
      <c r="H511" s="30" t="str">
        <v/>
      </c>
      <c r="I511" s="29" t="str">
        <v/>
      </c>
      <c r="J511" s="29" t="str">
        <v/>
      </c>
      <c r="K511" s="29" t="str">
        <v/>
      </c>
      <c r="L511" s="29" t="str">
        <v/>
      </c>
      <c r="M511" s="29" t="str">
        <v/>
      </c>
      <c r="N511" s="29" t="str">
        <v/>
      </c>
      <c r="O511" s="2" t="str">
        <f ca="1"/>
        <v/>
      </c>
      <c r="P511" s="2" t="str">
        <f ca="1"/>
        <v/>
      </c>
      <c r="Q511" s="2" t="s">
        <v>5</v>
      </c>
      <c r="R511" s="2" t="s">
        <v>5</v>
      </c>
      <c r="U511" s="2" t="s">
        <v>10</v>
      </c>
      <c r="V511" s="2" t="e">
        <v>#N/A</v>
      </c>
      <c r="W511" s="31">
        <v>27500</v>
      </c>
      <c r="X511" s="29">
        <v>7500</v>
      </c>
      <c r="Y511" s="30">
        <v>3</v>
      </c>
      <c r="Z511" s="29">
        <v>20000</v>
      </c>
      <c r="AA511" s="30">
        <v>8</v>
      </c>
      <c r="AB511" s="29">
        <v>16000</v>
      </c>
      <c r="AC511" s="30">
        <v>8</v>
      </c>
      <c r="AD511" s="29">
        <v>10000</v>
      </c>
      <c r="AE511" s="30">
        <v>5</v>
      </c>
      <c r="AF511" s="29">
        <v>0</v>
      </c>
      <c r="AG511" s="30">
        <v>0</v>
      </c>
      <c r="AH511" s="2" t="e">
        <v>#N/A</v>
      </c>
      <c r="AI511" s="2" t="e">
        <v>#N/A</v>
      </c>
      <c r="AJ511" s="2" t="s">
        <v>5</v>
      </c>
      <c r="AK511" s="2" t="s">
        <v>5</v>
      </c>
    </row>
    <row r="512" spans="3:37" ht="12.5">
      <c r="C512" s="2" t="str">
        <f ca="1"/>
        <v/>
      </c>
      <c r="D512" s="2" t="str">
        <v/>
      </c>
      <c r="E512" s="29" t="str">
        <v/>
      </c>
      <c r="F512" s="30" t="str">
        <v/>
      </c>
      <c r="G512" s="29" t="str">
        <v/>
      </c>
      <c r="H512" s="30" t="str">
        <v/>
      </c>
      <c r="I512" s="29" t="str">
        <v/>
      </c>
      <c r="J512" s="29" t="str">
        <v/>
      </c>
      <c r="K512" s="29" t="str">
        <v/>
      </c>
      <c r="L512" s="29" t="str">
        <v/>
      </c>
      <c r="M512" s="29" t="str">
        <v/>
      </c>
      <c r="N512" s="29" t="str">
        <v/>
      </c>
      <c r="O512" s="2" t="str">
        <f ca="1"/>
        <v/>
      </c>
      <c r="P512" s="2" t="str">
        <f ca="1"/>
        <v/>
      </c>
      <c r="Q512" s="2" t="s">
        <v>5</v>
      </c>
      <c r="R512" s="2" t="s">
        <v>5</v>
      </c>
      <c r="U512" s="2" t="s">
        <v>11</v>
      </c>
      <c r="V512" s="2" t="e">
        <v>#N/A</v>
      </c>
      <c r="W512" s="31">
        <v>2500</v>
      </c>
      <c r="X512" s="29">
        <v>2500</v>
      </c>
      <c r="Y512" s="30">
        <v>1</v>
      </c>
      <c r="Z512" s="29">
        <v>0</v>
      </c>
      <c r="AA512" s="30">
        <v>0</v>
      </c>
      <c r="AB512" s="29">
        <v>0</v>
      </c>
      <c r="AC512" s="30">
        <v>0</v>
      </c>
      <c r="AD512" s="29">
        <v>6000</v>
      </c>
      <c r="AE512" s="30">
        <v>3</v>
      </c>
      <c r="AF512" s="29">
        <v>0</v>
      </c>
      <c r="AG512" s="30">
        <v>0</v>
      </c>
      <c r="AH512" s="2" t="e">
        <v>#N/A</v>
      </c>
      <c r="AI512" s="2" t="e">
        <v>#N/A</v>
      </c>
      <c r="AJ512" s="2" t="s">
        <v>5</v>
      </c>
      <c r="AK512" s="2" t="s">
        <v>5</v>
      </c>
    </row>
    <row r="513" spans="3:37" ht="12.5">
      <c r="C513" s="2" t="str">
        <f ca="1"/>
        <v/>
      </c>
      <c r="D513" s="2" t="str">
        <v/>
      </c>
      <c r="E513" s="29" t="str">
        <v/>
      </c>
      <c r="F513" s="30" t="str">
        <v/>
      </c>
      <c r="G513" s="29" t="str">
        <v/>
      </c>
      <c r="H513" s="30" t="str">
        <v/>
      </c>
      <c r="I513" s="29" t="str">
        <v/>
      </c>
      <c r="J513" s="29" t="str">
        <v/>
      </c>
      <c r="K513" s="29" t="str">
        <v/>
      </c>
      <c r="L513" s="29" t="str">
        <v/>
      </c>
      <c r="M513" s="29" t="str">
        <v/>
      </c>
      <c r="N513" s="29" t="str">
        <v/>
      </c>
      <c r="O513" s="2" t="str">
        <f ca="1"/>
        <v/>
      </c>
      <c r="P513" s="2" t="str">
        <f ca="1"/>
        <v/>
      </c>
      <c r="Q513" s="2" t="s">
        <v>5</v>
      </c>
      <c r="R513" s="2" t="s">
        <v>5</v>
      </c>
      <c r="U513" s="2" t="s">
        <v>12</v>
      </c>
      <c r="V513" s="2" t="e">
        <v>#N/A</v>
      </c>
      <c r="W513" s="31">
        <v>5000</v>
      </c>
      <c r="X513" s="29">
        <v>2500</v>
      </c>
      <c r="Y513" s="30">
        <v>1</v>
      </c>
      <c r="Z513" s="29">
        <v>2500</v>
      </c>
      <c r="AA513" s="30">
        <v>1</v>
      </c>
      <c r="AB513" s="29">
        <v>2000</v>
      </c>
      <c r="AC513" s="30">
        <v>1</v>
      </c>
      <c r="AD513" s="29">
        <v>2000</v>
      </c>
      <c r="AE513" s="30">
        <v>1</v>
      </c>
      <c r="AF513" s="29">
        <v>0</v>
      </c>
      <c r="AG513" s="30">
        <v>0</v>
      </c>
      <c r="AH513" s="2" t="e">
        <v>#N/A</v>
      </c>
      <c r="AI513" s="2" t="e">
        <v>#N/A</v>
      </c>
      <c r="AJ513" s="2" t="s">
        <v>5</v>
      </c>
      <c r="AK513" s="2" t="s">
        <v>5</v>
      </c>
    </row>
    <row r="514" spans="3:37" ht="12.5">
      <c r="C514" s="2" t="str">
        <f ca="1"/>
        <v/>
      </c>
      <c r="D514" s="2" t="str">
        <v/>
      </c>
      <c r="E514" s="29" t="str">
        <v/>
      </c>
      <c r="F514" s="30" t="str">
        <v/>
      </c>
      <c r="G514" s="29" t="str">
        <v/>
      </c>
      <c r="H514" s="30" t="str">
        <v/>
      </c>
      <c r="I514" s="29" t="str">
        <v/>
      </c>
      <c r="J514" s="29" t="str">
        <v/>
      </c>
      <c r="K514" s="29" t="str">
        <v/>
      </c>
      <c r="L514" s="29" t="str">
        <v/>
      </c>
      <c r="M514" s="29" t="str">
        <v/>
      </c>
      <c r="N514" s="29" t="str">
        <v/>
      </c>
      <c r="O514" s="2" t="str">
        <f ca="1"/>
        <v/>
      </c>
      <c r="P514" s="2" t="str">
        <f ca="1"/>
        <v/>
      </c>
      <c r="Q514" s="2" t="s">
        <v>5</v>
      </c>
      <c r="R514" s="2" t="s">
        <v>5</v>
      </c>
      <c r="U514" s="2" t="s">
        <v>14</v>
      </c>
      <c r="V514" s="2" t="e">
        <v>#N/A</v>
      </c>
      <c r="W514" s="31">
        <v>20000</v>
      </c>
      <c r="X514" s="29">
        <v>2500</v>
      </c>
      <c r="Y514" s="30">
        <v>1</v>
      </c>
      <c r="Z514" s="29">
        <v>17500</v>
      </c>
      <c r="AA514" s="30">
        <v>7</v>
      </c>
      <c r="AB514" s="29">
        <v>14000</v>
      </c>
      <c r="AC514" s="30">
        <v>7</v>
      </c>
      <c r="AD514" s="29">
        <v>4000</v>
      </c>
      <c r="AE514" s="30">
        <v>2</v>
      </c>
      <c r="AF514" s="29">
        <v>0</v>
      </c>
      <c r="AG514" s="30">
        <v>0</v>
      </c>
      <c r="AH514" s="2" t="e">
        <v>#N/A</v>
      </c>
      <c r="AI514" s="2" t="e">
        <v>#N/A</v>
      </c>
      <c r="AJ514" s="2" t="s">
        <v>5</v>
      </c>
      <c r="AK514" s="2" t="s">
        <v>5</v>
      </c>
    </row>
    <row r="515" spans="3:37" ht="12.5">
      <c r="C515" s="2" t="str">
        <f ca="1"/>
        <v/>
      </c>
      <c r="D515" s="2" t="str">
        <v/>
      </c>
      <c r="E515" s="29" t="str">
        <v/>
      </c>
      <c r="F515" s="30" t="str">
        <v/>
      </c>
      <c r="G515" s="29" t="str">
        <v/>
      </c>
      <c r="H515" s="30" t="str">
        <v/>
      </c>
      <c r="I515" s="29" t="str">
        <v/>
      </c>
      <c r="J515" s="29" t="str">
        <v/>
      </c>
      <c r="K515" s="29" t="str">
        <v/>
      </c>
      <c r="L515" s="29" t="str">
        <v/>
      </c>
      <c r="M515" s="29" t="str">
        <v/>
      </c>
      <c r="N515" s="29" t="str">
        <v/>
      </c>
      <c r="O515" s="2" t="str">
        <f ca="1"/>
        <v/>
      </c>
      <c r="P515" s="2" t="str">
        <f ca="1"/>
        <v/>
      </c>
      <c r="Q515" s="2" t="s">
        <v>5</v>
      </c>
      <c r="R515" s="2" t="s">
        <v>5</v>
      </c>
      <c r="U515" s="2" t="s">
        <v>15</v>
      </c>
      <c r="V515" s="2" t="e">
        <v>#N/A</v>
      </c>
      <c r="W515" s="31">
        <v>7500</v>
      </c>
      <c r="X515" s="29">
        <v>5000</v>
      </c>
      <c r="Y515" s="30">
        <v>2</v>
      </c>
      <c r="Z515" s="29">
        <v>2500</v>
      </c>
      <c r="AA515" s="30">
        <v>1</v>
      </c>
      <c r="AB515" s="29">
        <v>8000</v>
      </c>
      <c r="AC515" s="30">
        <v>4</v>
      </c>
      <c r="AD515" s="29">
        <v>2000</v>
      </c>
      <c r="AE515" s="30">
        <v>1</v>
      </c>
      <c r="AF515" s="29">
        <v>0</v>
      </c>
      <c r="AG515" s="30">
        <v>0</v>
      </c>
      <c r="AH515" s="2" t="e">
        <v>#N/A</v>
      </c>
      <c r="AI515" s="2" t="e">
        <v>#N/A</v>
      </c>
      <c r="AJ515" s="2" t="s">
        <v>5</v>
      </c>
      <c r="AK515" s="2" t="s">
        <v>5</v>
      </c>
    </row>
    <row r="516" spans="3:37" ht="12.5">
      <c r="C516" s="2" t="str">
        <f ca="1"/>
        <v/>
      </c>
      <c r="D516" s="2" t="str">
        <v/>
      </c>
      <c r="E516" s="29" t="str">
        <v/>
      </c>
      <c r="F516" s="30" t="str">
        <v/>
      </c>
      <c r="G516" s="29" t="str">
        <v/>
      </c>
      <c r="H516" s="30" t="str">
        <v/>
      </c>
      <c r="I516" s="29" t="str">
        <v/>
      </c>
      <c r="J516" s="29" t="str">
        <v/>
      </c>
      <c r="K516" s="29" t="str">
        <v/>
      </c>
      <c r="L516" s="29" t="str">
        <v/>
      </c>
      <c r="M516" s="29" t="str">
        <v/>
      </c>
      <c r="N516" s="29" t="str">
        <v/>
      </c>
      <c r="O516" s="2" t="str">
        <f ca="1"/>
        <v/>
      </c>
      <c r="P516" s="2" t="str">
        <f ca="1"/>
        <v/>
      </c>
      <c r="Q516" s="2" t="s">
        <v>5</v>
      </c>
      <c r="R516" s="2" t="s">
        <v>5</v>
      </c>
      <c r="U516" s="2" t="s">
        <v>16</v>
      </c>
      <c r="V516" s="2" t="e">
        <v>#N/A</v>
      </c>
      <c r="W516" s="31">
        <v>2500</v>
      </c>
      <c r="X516" s="29">
        <v>2500</v>
      </c>
      <c r="Y516" s="30">
        <v>1</v>
      </c>
      <c r="Z516" s="29">
        <v>0</v>
      </c>
      <c r="AA516" s="30">
        <v>0</v>
      </c>
      <c r="AB516" s="29">
        <v>4000</v>
      </c>
      <c r="AC516" s="30">
        <v>2</v>
      </c>
      <c r="AD516" s="29">
        <v>0</v>
      </c>
      <c r="AE516" s="30">
        <v>0</v>
      </c>
      <c r="AF516" s="29">
        <v>0</v>
      </c>
      <c r="AG516" s="30">
        <v>0</v>
      </c>
      <c r="AH516" s="2" t="e">
        <v>#N/A</v>
      </c>
      <c r="AI516" s="2" t="e">
        <v>#N/A</v>
      </c>
      <c r="AJ516" s="2" t="s">
        <v>5</v>
      </c>
      <c r="AK516" s="2" t="s">
        <v>5</v>
      </c>
    </row>
    <row r="517" spans="3:37" ht="12.5">
      <c r="C517" s="2" t="str">
        <f ca="1"/>
        <v/>
      </c>
      <c r="D517" s="2" t="str">
        <v/>
      </c>
      <c r="E517" s="29" t="str">
        <v/>
      </c>
      <c r="F517" s="30" t="str">
        <v/>
      </c>
      <c r="G517" s="29" t="str">
        <v/>
      </c>
      <c r="H517" s="30" t="str">
        <v/>
      </c>
      <c r="I517" s="29" t="str">
        <v/>
      </c>
      <c r="J517" s="29" t="str">
        <v/>
      </c>
      <c r="K517" s="29" t="str">
        <v/>
      </c>
      <c r="L517" s="29" t="str">
        <v/>
      </c>
      <c r="M517" s="29" t="str">
        <v/>
      </c>
      <c r="N517" s="29" t="str">
        <v/>
      </c>
      <c r="O517" s="2" t="str">
        <f ca="1"/>
        <v/>
      </c>
      <c r="P517" s="2" t="str">
        <f ca="1"/>
        <v/>
      </c>
      <c r="Q517" s="2" t="s">
        <v>5</v>
      </c>
      <c r="R517" s="2" t="s">
        <v>5</v>
      </c>
      <c r="U517" s="2" t="s">
        <v>17</v>
      </c>
      <c r="V517" s="2" t="e">
        <v>#N/A</v>
      </c>
      <c r="W517" s="31">
        <v>7500</v>
      </c>
      <c r="X517" s="29">
        <v>2500</v>
      </c>
      <c r="Y517" s="30">
        <v>1</v>
      </c>
      <c r="Z517" s="29">
        <v>5000</v>
      </c>
      <c r="AA517" s="30">
        <v>2</v>
      </c>
      <c r="AB517" s="29">
        <v>6000</v>
      </c>
      <c r="AC517" s="30">
        <v>3</v>
      </c>
      <c r="AD517" s="29">
        <v>4000</v>
      </c>
      <c r="AE517" s="30">
        <v>2</v>
      </c>
      <c r="AF517" s="29">
        <v>0</v>
      </c>
      <c r="AG517" s="30">
        <v>0</v>
      </c>
      <c r="AH517" s="2" t="e">
        <v>#N/A</v>
      </c>
      <c r="AI517" s="2" t="e">
        <v>#N/A</v>
      </c>
      <c r="AJ517" s="2" t="s">
        <v>5</v>
      </c>
      <c r="AK517" s="2" t="s">
        <v>5</v>
      </c>
    </row>
    <row r="518" spans="3:37" ht="12.5">
      <c r="C518" s="2" t="str">
        <f ca="1"/>
        <v/>
      </c>
      <c r="D518" s="2" t="str">
        <v/>
      </c>
      <c r="E518" s="29" t="str">
        <v/>
      </c>
      <c r="F518" s="30" t="str">
        <v/>
      </c>
      <c r="G518" s="29" t="str">
        <v/>
      </c>
      <c r="H518" s="30" t="str">
        <v/>
      </c>
      <c r="I518" s="29" t="str">
        <v/>
      </c>
      <c r="J518" s="29" t="str">
        <v/>
      </c>
      <c r="K518" s="29" t="str">
        <v/>
      </c>
      <c r="L518" s="29" t="str">
        <v/>
      </c>
      <c r="M518" s="29" t="str">
        <v/>
      </c>
      <c r="N518" s="29" t="str">
        <v/>
      </c>
      <c r="O518" s="2" t="str">
        <f ca="1"/>
        <v/>
      </c>
      <c r="P518" s="2" t="str">
        <f ca="1"/>
        <v/>
      </c>
      <c r="Q518" s="2" t="s">
        <v>5</v>
      </c>
      <c r="R518" s="2" t="s">
        <v>5</v>
      </c>
      <c r="U518" s="2" t="s">
        <v>18</v>
      </c>
      <c r="V518" s="2" t="e">
        <v>#N/A</v>
      </c>
      <c r="W518" s="31">
        <v>2500</v>
      </c>
      <c r="X518" s="29">
        <v>2500</v>
      </c>
      <c r="Y518" s="30">
        <v>1</v>
      </c>
      <c r="Z518" s="29">
        <v>0</v>
      </c>
      <c r="AA518" s="30">
        <v>0</v>
      </c>
      <c r="AB518" s="29">
        <v>22000</v>
      </c>
      <c r="AC518" s="30">
        <v>11</v>
      </c>
      <c r="AD518" s="29">
        <v>2000</v>
      </c>
      <c r="AE518" s="30">
        <v>1</v>
      </c>
      <c r="AF518" s="29">
        <v>0</v>
      </c>
      <c r="AG518" s="30">
        <v>0</v>
      </c>
      <c r="AH518" s="2" t="e">
        <v>#N/A</v>
      </c>
      <c r="AI518" s="2" t="e">
        <v>#N/A</v>
      </c>
      <c r="AJ518" s="2" t="s">
        <v>5</v>
      </c>
      <c r="AK518" s="2" t="s">
        <v>5</v>
      </c>
    </row>
    <row r="519" spans="3:37" ht="12.5">
      <c r="C519" s="2" t="str">
        <f ca="1"/>
        <v/>
      </c>
      <c r="D519" s="2" t="str">
        <v/>
      </c>
      <c r="E519" s="29" t="str">
        <v/>
      </c>
      <c r="F519" s="30" t="str">
        <v/>
      </c>
      <c r="G519" s="29" t="str">
        <v/>
      </c>
      <c r="H519" s="30" t="str">
        <v/>
      </c>
      <c r="I519" s="29" t="str">
        <v/>
      </c>
      <c r="J519" s="29" t="str">
        <v/>
      </c>
      <c r="K519" s="29" t="str">
        <v/>
      </c>
      <c r="L519" s="29" t="str">
        <v/>
      </c>
      <c r="M519" s="29" t="str">
        <v/>
      </c>
      <c r="N519" s="29" t="str">
        <v/>
      </c>
      <c r="O519" s="2" t="str">
        <f ca="1"/>
        <v/>
      </c>
      <c r="P519" s="2" t="str">
        <f ca="1"/>
        <v/>
      </c>
      <c r="Q519" s="2" t="s">
        <v>5</v>
      </c>
      <c r="R519" s="2" t="s">
        <v>5</v>
      </c>
      <c r="U519" s="2" t="s">
        <v>20</v>
      </c>
      <c r="V519" s="2" t="e">
        <v>#N/A</v>
      </c>
      <c r="W519" s="31">
        <v>2500</v>
      </c>
      <c r="X519" s="29">
        <v>2500</v>
      </c>
      <c r="Y519" s="30">
        <v>1</v>
      </c>
      <c r="Z519" s="29">
        <v>0</v>
      </c>
      <c r="AA519" s="30">
        <v>0</v>
      </c>
      <c r="AB519" s="29">
        <v>0</v>
      </c>
      <c r="AC519" s="30">
        <v>0</v>
      </c>
      <c r="AD519" s="29">
        <v>0</v>
      </c>
      <c r="AE519" s="30">
        <v>0</v>
      </c>
      <c r="AF519" s="29">
        <v>0</v>
      </c>
      <c r="AG519" s="30">
        <v>0</v>
      </c>
      <c r="AH519" s="2" t="e">
        <v>#N/A</v>
      </c>
      <c r="AI519" s="2" t="e">
        <v>#N/A</v>
      </c>
      <c r="AJ519" s="2" t="s">
        <v>5</v>
      </c>
      <c r="AK519" s="2" t="s">
        <v>5</v>
      </c>
    </row>
    <row r="520" spans="3:37" ht="12.5">
      <c r="C520" s="2" t="str">
        <f ca="1"/>
        <v/>
      </c>
      <c r="D520" s="2" t="str">
        <v/>
      </c>
      <c r="E520" s="29" t="str">
        <v/>
      </c>
      <c r="F520" s="30" t="str">
        <v/>
      </c>
      <c r="G520" s="29" t="str">
        <v/>
      </c>
      <c r="H520" s="30" t="str">
        <v/>
      </c>
      <c r="I520" s="29" t="str">
        <v/>
      </c>
      <c r="J520" s="29" t="str">
        <v/>
      </c>
      <c r="K520" s="29" t="str">
        <v/>
      </c>
      <c r="L520" s="29" t="str">
        <v/>
      </c>
      <c r="M520" s="29" t="str">
        <v/>
      </c>
      <c r="N520" s="29" t="str">
        <v/>
      </c>
      <c r="O520" s="2" t="str">
        <f ca="1"/>
        <v/>
      </c>
      <c r="P520" s="2" t="str">
        <f ca="1"/>
        <v/>
      </c>
      <c r="Q520" s="2" t="s">
        <v>5</v>
      </c>
      <c r="R520" s="2" t="s">
        <v>5</v>
      </c>
      <c r="U520" s="2" t="s">
        <v>21</v>
      </c>
      <c r="V520" s="2" t="e">
        <v>#N/A</v>
      </c>
      <c r="W520" s="31">
        <v>10000</v>
      </c>
      <c r="X520" s="29">
        <v>2500</v>
      </c>
      <c r="Y520" s="30">
        <v>1</v>
      </c>
      <c r="Z520" s="29">
        <v>7500</v>
      </c>
      <c r="AA520" s="30">
        <v>3</v>
      </c>
      <c r="AB520" s="29">
        <v>4000</v>
      </c>
      <c r="AC520" s="30">
        <v>2</v>
      </c>
      <c r="AD520" s="29">
        <v>4000</v>
      </c>
      <c r="AE520" s="30">
        <v>2</v>
      </c>
      <c r="AF520" s="29">
        <v>0</v>
      </c>
      <c r="AG520" s="30">
        <v>0</v>
      </c>
      <c r="AH520" s="2" t="e">
        <v>#N/A</v>
      </c>
      <c r="AI520" s="2" t="e">
        <v>#N/A</v>
      </c>
      <c r="AJ520" s="2" t="s">
        <v>5</v>
      </c>
      <c r="AK520" s="2" t="s">
        <v>5</v>
      </c>
    </row>
    <row r="521" spans="3:37" ht="12.5">
      <c r="C521" s="2" t="str">
        <f ca="1"/>
        <v/>
      </c>
      <c r="D521" s="2" t="str">
        <v/>
      </c>
      <c r="E521" s="29" t="str">
        <v/>
      </c>
      <c r="F521" s="30" t="str">
        <v/>
      </c>
      <c r="G521" s="29" t="str">
        <v/>
      </c>
      <c r="H521" s="30" t="str">
        <v/>
      </c>
      <c r="I521" s="29" t="str">
        <v/>
      </c>
      <c r="J521" s="29" t="str">
        <v/>
      </c>
      <c r="K521" s="29" t="str">
        <v/>
      </c>
      <c r="L521" s="29" t="str">
        <v/>
      </c>
      <c r="M521" s="29" t="str">
        <v/>
      </c>
      <c r="N521" s="29" t="str">
        <v/>
      </c>
      <c r="O521" s="2" t="str">
        <f ca="1"/>
        <v/>
      </c>
      <c r="P521" s="2" t="str">
        <f ca="1"/>
        <v/>
      </c>
      <c r="Q521" s="2" t="s">
        <v>5</v>
      </c>
      <c r="R521" s="2" t="s">
        <v>5</v>
      </c>
      <c r="U521" s="2" t="s">
        <v>22</v>
      </c>
      <c r="V521" s="2" t="e">
        <v>#N/A</v>
      </c>
      <c r="W521" s="31">
        <v>22500</v>
      </c>
      <c r="X521" s="29">
        <v>2500</v>
      </c>
      <c r="Y521" s="30">
        <v>1</v>
      </c>
      <c r="Z521" s="29">
        <v>20000</v>
      </c>
      <c r="AA521" s="30">
        <v>8</v>
      </c>
      <c r="AB521" s="29">
        <v>24000</v>
      </c>
      <c r="AC521" s="30">
        <v>12</v>
      </c>
      <c r="AD521" s="29">
        <v>26000</v>
      </c>
      <c r="AE521" s="30">
        <v>13</v>
      </c>
      <c r="AF521" s="29">
        <v>0</v>
      </c>
      <c r="AG521" s="30">
        <v>0</v>
      </c>
      <c r="AH521" s="2" t="e">
        <v>#N/A</v>
      </c>
      <c r="AI521" s="2" t="e">
        <v>#N/A</v>
      </c>
      <c r="AJ521" s="2" t="s">
        <v>5</v>
      </c>
      <c r="AK521" s="2" t="s">
        <v>5</v>
      </c>
    </row>
    <row r="522" spans="3:37" ht="12.5">
      <c r="C522" s="2" t="str">
        <f ca="1"/>
        <v/>
      </c>
      <c r="D522" s="2" t="str">
        <v/>
      </c>
      <c r="E522" s="29" t="str">
        <v/>
      </c>
      <c r="F522" s="30" t="str">
        <v/>
      </c>
      <c r="G522" s="29" t="str">
        <v/>
      </c>
      <c r="H522" s="30" t="str">
        <v/>
      </c>
      <c r="I522" s="29" t="str">
        <v/>
      </c>
      <c r="J522" s="29" t="str">
        <v/>
      </c>
      <c r="K522" s="29" t="str">
        <v/>
      </c>
      <c r="L522" s="29" t="str">
        <v/>
      </c>
      <c r="M522" s="29" t="str">
        <v/>
      </c>
      <c r="N522" s="29" t="str">
        <v/>
      </c>
      <c r="O522" s="2" t="str">
        <f ca="1"/>
        <v/>
      </c>
      <c r="P522" s="2" t="str">
        <f ca="1"/>
        <v/>
      </c>
      <c r="Q522" s="2" t="s">
        <v>5</v>
      </c>
      <c r="R522" s="2" t="s">
        <v>5</v>
      </c>
      <c r="U522" s="2" t="s">
        <v>23</v>
      </c>
      <c r="V522" s="2" t="e">
        <v>#N/A</v>
      </c>
      <c r="W522" s="31">
        <v>5000</v>
      </c>
      <c r="X522" s="29">
        <v>2500</v>
      </c>
      <c r="Y522" s="30">
        <v>1</v>
      </c>
      <c r="Z522" s="29">
        <v>2500</v>
      </c>
      <c r="AA522" s="30">
        <v>1</v>
      </c>
      <c r="AB522" s="29">
        <v>4000</v>
      </c>
      <c r="AC522" s="30">
        <v>2</v>
      </c>
      <c r="AD522" s="29">
        <v>0</v>
      </c>
      <c r="AE522" s="30">
        <v>0</v>
      </c>
      <c r="AF522" s="29">
        <v>0</v>
      </c>
      <c r="AG522" s="30">
        <v>0</v>
      </c>
      <c r="AH522" s="2" t="e">
        <v>#N/A</v>
      </c>
      <c r="AI522" s="2" t="e">
        <v>#N/A</v>
      </c>
      <c r="AJ522" s="2" t="s">
        <v>5</v>
      </c>
      <c r="AK522" s="2" t="s">
        <v>5</v>
      </c>
    </row>
    <row r="523" spans="3:37" ht="12.5">
      <c r="C523" s="2" t="str">
        <f ca="1"/>
        <v/>
      </c>
      <c r="D523" s="2" t="str">
        <v/>
      </c>
      <c r="E523" s="29" t="str">
        <v/>
      </c>
      <c r="F523" s="30" t="str">
        <v/>
      </c>
      <c r="G523" s="29" t="str">
        <v/>
      </c>
      <c r="H523" s="30" t="str">
        <v/>
      </c>
      <c r="I523" s="29" t="str">
        <v/>
      </c>
      <c r="J523" s="29" t="str">
        <v/>
      </c>
      <c r="K523" s="29" t="str">
        <v/>
      </c>
      <c r="L523" s="29" t="str">
        <v/>
      </c>
      <c r="M523" s="29" t="str">
        <v/>
      </c>
      <c r="N523" s="29" t="str">
        <v/>
      </c>
      <c r="O523" s="2" t="str">
        <f ca="1"/>
        <v/>
      </c>
      <c r="P523" s="2" t="str">
        <f ca="1"/>
        <v/>
      </c>
      <c r="Q523" s="2" t="s">
        <v>5</v>
      </c>
      <c r="R523" s="2" t="s">
        <v>5</v>
      </c>
      <c r="U523" s="2" t="s">
        <v>24</v>
      </c>
      <c r="V523" s="2" t="e">
        <v>#N/A</v>
      </c>
      <c r="W523" s="31">
        <v>5000</v>
      </c>
      <c r="X523" s="29">
        <v>2500</v>
      </c>
      <c r="Y523" s="30">
        <v>1</v>
      </c>
      <c r="Z523" s="29">
        <v>2500</v>
      </c>
      <c r="AA523" s="30">
        <v>1</v>
      </c>
      <c r="AB523" s="29">
        <v>8000</v>
      </c>
      <c r="AC523" s="30">
        <v>4</v>
      </c>
      <c r="AD523" s="29">
        <v>0</v>
      </c>
      <c r="AE523" s="30">
        <v>0</v>
      </c>
      <c r="AF523" s="29">
        <v>0</v>
      </c>
      <c r="AG523" s="30">
        <v>0</v>
      </c>
      <c r="AH523" s="2" t="e">
        <v>#N/A</v>
      </c>
      <c r="AI523" s="2" t="e">
        <v>#N/A</v>
      </c>
      <c r="AJ523" s="2" t="s">
        <v>5</v>
      </c>
      <c r="AK523" s="2" t="s">
        <v>5</v>
      </c>
    </row>
    <row r="524" spans="3:37" ht="12.5">
      <c r="C524" s="2" t="str">
        <f ca="1"/>
        <v/>
      </c>
      <c r="D524" s="2" t="str">
        <v/>
      </c>
      <c r="E524" s="29" t="str">
        <v/>
      </c>
      <c r="F524" s="30" t="str">
        <v/>
      </c>
      <c r="G524" s="29" t="str">
        <v/>
      </c>
      <c r="H524" s="30" t="str">
        <v/>
      </c>
      <c r="I524" s="29" t="str">
        <v/>
      </c>
      <c r="J524" s="29" t="str">
        <v/>
      </c>
      <c r="K524" s="29" t="str">
        <v/>
      </c>
      <c r="L524" s="29" t="str">
        <v/>
      </c>
      <c r="M524" s="29" t="str">
        <v/>
      </c>
      <c r="N524" s="29" t="str">
        <v/>
      </c>
      <c r="O524" s="2" t="str">
        <f ca="1"/>
        <v/>
      </c>
      <c r="P524" s="2" t="str">
        <f ca="1"/>
        <v/>
      </c>
      <c r="Q524" s="2" t="s">
        <v>5</v>
      </c>
      <c r="R524" s="2" t="s">
        <v>5</v>
      </c>
      <c r="U524" s="2" t="s">
        <v>26</v>
      </c>
      <c r="V524" s="2" t="e">
        <v>#N/A</v>
      </c>
      <c r="W524" s="31">
        <v>5000</v>
      </c>
      <c r="X524" s="29">
        <v>2500</v>
      </c>
      <c r="Y524" s="30">
        <v>1</v>
      </c>
      <c r="Z524" s="29">
        <v>2500</v>
      </c>
      <c r="AA524" s="30">
        <v>1</v>
      </c>
      <c r="AB524" s="29">
        <v>0</v>
      </c>
      <c r="AC524" s="30">
        <v>0</v>
      </c>
      <c r="AD524" s="29">
        <v>0</v>
      </c>
      <c r="AE524" s="30">
        <v>0</v>
      </c>
      <c r="AF524" s="29">
        <v>0</v>
      </c>
      <c r="AG524" s="30">
        <v>0</v>
      </c>
      <c r="AH524" s="2" t="e">
        <v>#N/A</v>
      </c>
      <c r="AI524" s="2" t="e">
        <v>#N/A</v>
      </c>
      <c r="AJ524" s="2" t="s">
        <v>5</v>
      </c>
      <c r="AK524" s="2" t="s">
        <v>5</v>
      </c>
    </row>
    <row r="525" spans="3:37" ht="12.5">
      <c r="C525" s="2" t="str">
        <f ca="1"/>
        <v/>
      </c>
      <c r="D525" s="2" t="str">
        <v/>
      </c>
      <c r="E525" s="29" t="str">
        <v/>
      </c>
      <c r="F525" s="30" t="str">
        <v/>
      </c>
      <c r="G525" s="29" t="str">
        <v/>
      </c>
      <c r="H525" s="30" t="str">
        <v/>
      </c>
      <c r="I525" s="29" t="str">
        <v/>
      </c>
      <c r="J525" s="29" t="str">
        <v/>
      </c>
      <c r="K525" s="29" t="str">
        <v/>
      </c>
      <c r="L525" s="29" t="str">
        <v/>
      </c>
      <c r="M525" s="29" t="str">
        <v/>
      </c>
      <c r="N525" s="29" t="str">
        <v/>
      </c>
      <c r="O525" s="2" t="str">
        <f ca="1"/>
        <v/>
      </c>
      <c r="P525" s="2" t="str">
        <f ca="1"/>
        <v/>
      </c>
      <c r="Q525" s="2" t="s">
        <v>5</v>
      </c>
      <c r="R525" s="2" t="s">
        <v>5</v>
      </c>
      <c r="U525" s="2" t="s">
        <v>27</v>
      </c>
      <c r="V525" s="2" t="e">
        <v>#N/A</v>
      </c>
      <c r="W525" s="31">
        <v>2500</v>
      </c>
      <c r="X525" s="29">
        <v>2500</v>
      </c>
      <c r="Y525" s="30">
        <v>1</v>
      </c>
      <c r="Z525" s="29">
        <v>0</v>
      </c>
      <c r="AA525" s="30">
        <v>0</v>
      </c>
      <c r="AB525" s="29">
        <v>2000</v>
      </c>
      <c r="AC525" s="30">
        <v>1</v>
      </c>
      <c r="AD525" s="29">
        <v>0</v>
      </c>
      <c r="AE525" s="30">
        <v>0</v>
      </c>
      <c r="AF525" s="29">
        <v>0</v>
      </c>
      <c r="AG525" s="30">
        <v>0</v>
      </c>
      <c r="AH525" s="2" t="e">
        <v>#N/A</v>
      </c>
      <c r="AI525" s="2" t="e">
        <v>#N/A</v>
      </c>
      <c r="AJ525" s="2" t="s">
        <v>5</v>
      </c>
      <c r="AK525" s="2" t="s">
        <v>5</v>
      </c>
    </row>
    <row r="526" spans="3:37" ht="12.5">
      <c r="C526" s="2" t="str">
        <f ca="1"/>
        <v/>
      </c>
      <c r="D526" s="2" t="str">
        <v/>
      </c>
      <c r="E526" s="29" t="str">
        <v/>
      </c>
      <c r="F526" s="30" t="str">
        <v/>
      </c>
      <c r="G526" s="29" t="str">
        <v/>
      </c>
      <c r="H526" s="30" t="str">
        <v/>
      </c>
      <c r="I526" s="29" t="str">
        <v/>
      </c>
      <c r="J526" s="29" t="str">
        <v/>
      </c>
      <c r="K526" s="29" t="str">
        <v/>
      </c>
      <c r="L526" s="29" t="str">
        <v/>
      </c>
      <c r="M526" s="29" t="str">
        <v/>
      </c>
      <c r="N526" s="29" t="str">
        <v/>
      </c>
      <c r="O526" s="2" t="str">
        <f ca="1"/>
        <v/>
      </c>
      <c r="P526" s="2" t="str">
        <f ca="1"/>
        <v/>
      </c>
      <c r="Q526" s="2" t="s">
        <v>5</v>
      </c>
      <c r="R526" s="2" t="s">
        <v>5</v>
      </c>
      <c r="U526" s="2" t="s">
        <v>28</v>
      </c>
      <c r="V526" s="2" t="e">
        <v>#N/A</v>
      </c>
      <c r="W526" s="31">
        <v>10000</v>
      </c>
      <c r="X526" s="29">
        <v>5000</v>
      </c>
      <c r="Y526" s="30">
        <v>2</v>
      </c>
      <c r="Z526" s="29">
        <v>5000</v>
      </c>
      <c r="AA526" s="30">
        <v>2</v>
      </c>
      <c r="AB526" s="29">
        <v>12000</v>
      </c>
      <c r="AC526" s="30">
        <v>6</v>
      </c>
      <c r="AD526" s="29">
        <v>2000</v>
      </c>
      <c r="AE526" s="30">
        <v>1</v>
      </c>
      <c r="AF526" s="29">
        <v>0</v>
      </c>
      <c r="AG526" s="30">
        <v>0</v>
      </c>
      <c r="AH526" s="2" t="e">
        <v>#N/A</v>
      </c>
      <c r="AI526" s="2" t="e">
        <v>#N/A</v>
      </c>
      <c r="AJ526" s="2" t="s">
        <v>5</v>
      </c>
      <c r="AK526" s="2" t="s">
        <v>5</v>
      </c>
    </row>
    <row r="527" spans="3:37" ht="12.5">
      <c r="C527" s="2" t="str">
        <f ca="1"/>
        <v/>
      </c>
      <c r="D527" s="2" t="str">
        <v/>
      </c>
      <c r="E527" s="29" t="str">
        <v/>
      </c>
      <c r="F527" s="30" t="str">
        <v/>
      </c>
      <c r="G527" s="29" t="str">
        <v/>
      </c>
      <c r="H527" s="30" t="str">
        <v/>
      </c>
      <c r="I527" s="29" t="str">
        <v/>
      </c>
      <c r="J527" s="29" t="str">
        <v/>
      </c>
      <c r="K527" s="29" t="str">
        <v/>
      </c>
      <c r="L527" s="29" t="str">
        <v/>
      </c>
      <c r="M527" s="29" t="str">
        <v/>
      </c>
      <c r="N527" s="29" t="str">
        <v/>
      </c>
      <c r="O527" s="2" t="str">
        <f ca="1"/>
        <v/>
      </c>
      <c r="P527" s="2" t="str">
        <f ca="1"/>
        <v/>
      </c>
      <c r="Q527" s="2" t="s">
        <v>5</v>
      </c>
      <c r="R527" s="2" t="s">
        <v>5</v>
      </c>
      <c r="U527" s="2" t="s">
        <v>29</v>
      </c>
      <c r="V527" s="2" t="e">
        <v>#N/A</v>
      </c>
      <c r="W527" s="31">
        <v>2500</v>
      </c>
      <c r="X527" s="29">
        <v>2500</v>
      </c>
      <c r="Y527" s="30">
        <v>1</v>
      </c>
      <c r="Z527" s="29">
        <v>0</v>
      </c>
      <c r="AA527" s="30">
        <v>0</v>
      </c>
      <c r="AB527" s="29">
        <v>0</v>
      </c>
      <c r="AC527" s="30">
        <v>0</v>
      </c>
      <c r="AD527" s="29">
        <v>0</v>
      </c>
      <c r="AE527" s="30">
        <v>0</v>
      </c>
      <c r="AF527" s="29">
        <v>0</v>
      </c>
      <c r="AG527" s="30">
        <v>0</v>
      </c>
      <c r="AH527" s="2" t="e">
        <v>#N/A</v>
      </c>
      <c r="AI527" s="2" t="e">
        <v>#N/A</v>
      </c>
      <c r="AJ527" s="2" t="s">
        <v>5</v>
      </c>
      <c r="AK527" s="2" t="s">
        <v>5</v>
      </c>
    </row>
    <row r="528" spans="3:37" ht="12.5">
      <c r="C528" s="2" t="str">
        <f ca="1"/>
        <v/>
      </c>
      <c r="D528" s="2" t="str">
        <v/>
      </c>
      <c r="E528" s="29" t="str">
        <v/>
      </c>
      <c r="F528" s="30" t="str">
        <v/>
      </c>
      <c r="G528" s="29" t="str">
        <v/>
      </c>
      <c r="H528" s="30" t="str">
        <v/>
      </c>
      <c r="I528" s="29" t="str">
        <v/>
      </c>
      <c r="J528" s="29" t="str">
        <v/>
      </c>
      <c r="K528" s="29" t="str">
        <v/>
      </c>
      <c r="L528" s="29" t="str">
        <v/>
      </c>
      <c r="M528" s="29" t="str">
        <v/>
      </c>
      <c r="N528" s="29" t="str">
        <v/>
      </c>
      <c r="O528" s="2" t="str">
        <f ca="1"/>
        <v/>
      </c>
      <c r="P528" s="2" t="str">
        <f ca="1"/>
        <v/>
      </c>
      <c r="Q528" s="2" t="s">
        <v>5</v>
      </c>
      <c r="R528" s="2" t="s">
        <v>5</v>
      </c>
      <c r="U528" s="2" t="s">
        <v>31</v>
      </c>
      <c r="V528" s="2" t="e">
        <v>#N/A</v>
      </c>
      <c r="W528" s="31">
        <v>22500</v>
      </c>
      <c r="X528" s="29">
        <v>5000</v>
      </c>
      <c r="Y528" s="30">
        <v>2</v>
      </c>
      <c r="Z528" s="29">
        <v>17500</v>
      </c>
      <c r="AA528" s="30">
        <v>7</v>
      </c>
      <c r="AB528" s="29">
        <v>24000</v>
      </c>
      <c r="AC528" s="30">
        <v>12</v>
      </c>
      <c r="AD528" s="29">
        <v>8000</v>
      </c>
      <c r="AE528" s="30">
        <v>4</v>
      </c>
      <c r="AF528" s="29">
        <v>0</v>
      </c>
      <c r="AG528" s="30">
        <v>0</v>
      </c>
      <c r="AH528" s="2" t="e">
        <v>#N/A</v>
      </c>
      <c r="AI528" s="2" t="e">
        <v>#N/A</v>
      </c>
      <c r="AJ528" s="2" t="s">
        <v>5</v>
      </c>
      <c r="AK528" s="2" t="s">
        <v>5</v>
      </c>
    </row>
    <row r="529" spans="3:37" ht="12.5">
      <c r="C529" s="2" t="str">
        <f ca="1"/>
        <v/>
      </c>
      <c r="D529" s="2" t="str">
        <v/>
      </c>
      <c r="E529" s="29" t="str">
        <v/>
      </c>
      <c r="F529" s="30" t="str">
        <v/>
      </c>
      <c r="G529" s="29" t="str">
        <v/>
      </c>
      <c r="H529" s="30" t="str">
        <v/>
      </c>
      <c r="I529" s="29" t="str">
        <v/>
      </c>
      <c r="J529" s="29" t="str">
        <v/>
      </c>
      <c r="K529" s="29" t="str">
        <v/>
      </c>
      <c r="L529" s="29" t="str">
        <v/>
      </c>
      <c r="M529" s="29" t="str">
        <v/>
      </c>
      <c r="N529" s="29" t="str">
        <v/>
      </c>
      <c r="O529" s="2" t="str">
        <f ca="1"/>
        <v/>
      </c>
      <c r="P529" s="2" t="str">
        <f ca="1"/>
        <v/>
      </c>
      <c r="Q529" s="2" t="s">
        <v>5</v>
      </c>
      <c r="R529" s="2" t="s">
        <v>5</v>
      </c>
      <c r="U529" s="2" t="s">
        <v>33</v>
      </c>
      <c r="V529" s="2" t="e">
        <v>#N/A</v>
      </c>
      <c r="W529" s="31">
        <v>5000</v>
      </c>
      <c r="X529" s="29">
        <v>2500</v>
      </c>
      <c r="Y529" s="30">
        <v>1</v>
      </c>
      <c r="Z529" s="29">
        <v>2500</v>
      </c>
      <c r="AA529" s="30">
        <v>1</v>
      </c>
      <c r="AB529" s="29">
        <v>8000</v>
      </c>
      <c r="AC529" s="30">
        <v>4</v>
      </c>
      <c r="AD529" s="29">
        <v>6000</v>
      </c>
      <c r="AE529" s="30">
        <v>3</v>
      </c>
      <c r="AF529" s="29">
        <v>0</v>
      </c>
      <c r="AG529" s="30">
        <v>0</v>
      </c>
      <c r="AH529" s="2" t="e">
        <v>#N/A</v>
      </c>
      <c r="AI529" s="2" t="e">
        <v>#N/A</v>
      </c>
      <c r="AJ529" s="2" t="s">
        <v>5</v>
      </c>
      <c r="AK529" s="2" t="s">
        <v>5</v>
      </c>
    </row>
    <row r="530" spans="3:37" ht="12.5">
      <c r="C530" s="2" t="str">
        <f ca="1"/>
        <v/>
      </c>
      <c r="D530" s="2" t="str">
        <v/>
      </c>
      <c r="E530" s="29" t="str">
        <v/>
      </c>
      <c r="F530" s="30" t="str">
        <v/>
      </c>
      <c r="G530" s="29" t="str">
        <v/>
      </c>
      <c r="H530" s="30" t="str">
        <v/>
      </c>
      <c r="I530" s="29" t="str">
        <v/>
      </c>
      <c r="J530" s="29" t="str">
        <v/>
      </c>
      <c r="K530" s="29" t="str">
        <v/>
      </c>
      <c r="L530" s="29" t="str">
        <v/>
      </c>
      <c r="M530" s="29" t="str">
        <v/>
      </c>
      <c r="N530" s="29" t="str">
        <v/>
      </c>
      <c r="O530" s="2" t="str">
        <f ca="1"/>
        <v/>
      </c>
      <c r="P530" s="2" t="str">
        <f ca="1"/>
        <v/>
      </c>
      <c r="Q530" s="2" t="s">
        <v>5</v>
      </c>
      <c r="R530" s="2" t="s">
        <v>5</v>
      </c>
      <c r="U530" s="2" t="s">
        <v>34</v>
      </c>
      <c r="V530" s="2" t="e">
        <v>#N/A</v>
      </c>
      <c r="W530" s="31">
        <v>2500</v>
      </c>
      <c r="X530" s="29">
        <v>2500</v>
      </c>
      <c r="Y530" s="30">
        <v>1</v>
      </c>
      <c r="Z530" s="29">
        <v>0</v>
      </c>
      <c r="AA530" s="30">
        <v>0</v>
      </c>
      <c r="AB530" s="29">
        <v>0</v>
      </c>
      <c r="AC530" s="30">
        <v>0</v>
      </c>
      <c r="AD530" s="29">
        <v>0</v>
      </c>
      <c r="AE530" s="30">
        <v>0</v>
      </c>
      <c r="AF530" s="29">
        <v>0</v>
      </c>
      <c r="AG530" s="30">
        <v>0</v>
      </c>
      <c r="AH530" s="2" t="e">
        <v>#N/A</v>
      </c>
      <c r="AI530" s="2" t="e">
        <v>#N/A</v>
      </c>
      <c r="AJ530" s="2" t="s">
        <v>5</v>
      </c>
      <c r="AK530" s="2" t="s">
        <v>5</v>
      </c>
    </row>
    <row r="531" spans="3:37" ht="12.5">
      <c r="C531" s="2" t="str">
        <f ca="1"/>
        <v/>
      </c>
      <c r="D531" s="2" t="str">
        <v/>
      </c>
      <c r="E531" s="29" t="str">
        <v/>
      </c>
      <c r="F531" s="30" t="str">
        <v/>
      </c>
      <c r="G531" s="29" t="str">
        <v/>
      </c>
      <c r="H531" s="30" t="str">
        <v/>
      </c>
      <c r="I531" s="29" t="str">
        <v/>
      </c>
      <c r="J531" s="29" t="str">
        <v/>
      </c>
      <c r="K531" s="29" t="str">
        <v/>
      </c>
      <c r="L531" s="29" t="str">
        <v/>
      </c>
      <c r="M531" s="29" t="str">
        <v/>
      </c>
      <c r="N531" s="29" t="str">
        <v/>
      </c>
      <c r="O531" s="2" t="str">
        <f ca="1"/>
        <v/>
      </c>
      <c r="P531" s="2" t="str">
        <f ca="1"/>
        <v/>
      </c>
      <c r="Q531" s="2" t="s">
        <v>5</v>
      </c>
      <c r="R531" s="2" t="s">
        <v>5</v>
      </c>
      <c r="U531" s="2" t="s">
        <v>35</v>
      </c>
      <c r="V531" s="2" t="e">
        <v>#N/A</v>
      </c>
      <c r="W531" s="31">
        <v>2500</v>
      </c>
      <c r="X531" s="29">
        <v>2500</v>
      </c>
      <c r="Y531" s="30">
        <v>1</v>
      </c>
      <c r="Z531" s="29">
        <v>0</v>
      </c>
      <c r="AA531" s="30">
        <v>0</v>
      </c>
      <c r="AB531" s="29">
        <v>4000</v>
      </c>
      <c r="AC531" s="30">
        <v>2</v>
      </c>
      <c r="AD531" s="29">
        <v>10000</v>
      </c>
      <c r="AE531" s="30">
        <v>5</v>
      </c>
      <c r="AF531" s="29">
        <v>0</v>
      </c>
      <c r="AG531" s="30">
        <v>0</v>
      </c>
      <c r="AH531" s="2" t="e">
        <v>#N/A</v>
      </c>
      <c r="AI531" s="2" t="e">
        <v>#N/A</v>
      </c>
      <c r="AJ531" s="2" t="s">
        <v>5</v>
      </c>
      <c r="AK531" s="2" t="s">
        <v>5</v>
      </c>
    </row>
    <row r="532" spans="3:37" ht="12.5">
      <c r="C532" s="2" t="str">
        <f ca="1"/>
        <v/>
      </c>
      <c r="D532" s="2" t="str">
        <v/>
      </c>
      <c r="E532" s="29" t="str">
        <v/>
      </c>
      <c r="F532" s="30" t="str">
        <v/>
      </c>
      <c r="G532" s="29" t="str">
        <v/>
      </c>
      <c r="H532" s="30" t="str">
        <v/>
      </c>
      <c r="I532" s="29" t="str">
        <v/>
      </c>
      <c r="J532" s="29" t="str">
        <v/>
      </c>
      <c r="K532" s="29" t="str">
        <v/>
      </c>
      <c r="L532" s="29" t="str">
        <v/>
      </c>
      <c r="M532" s="29" t="str">
        <v/>
      </c>
      <c r="N532" s="29" t="str">
        <v/>
      </c>
      <c r="O532" s="2" t="str">
        <f ca="1"/>
        <v/>
      </c>
      <c r="P532" s="2" t="str">
        <f ca="1"/>
        <v/>
      </c>
      <c r="Q532" s="2" t="s">
        <v>5</v>
      </c>
      <c r="R532" s="2" t="s">
        <v>5</v>
      </c>
      <c r="U532" s="2" t="s">
        <v>36</v>
      </c>
      <c r="V532" s="2" t="e">
        <v>#N/A</v>
      </c>
      <c r="W532" s="31">
        <v>5000</v>
      </c>
      <c r="X532" s="29">
        <v>2500</v>
      </c>
      <c r="Y532" s="30">
        <v>1</v>
      </c>
      <c r="Z532" s="29">
        <v>2500</v>
      </c>
      <c r="AA532" s="30">
        <v>1</v>
      </c>
      <c r="AB532" s="29">
        <v>12000</v>
      </c>
      <c r="AC532" s="30">
        <v>6</v>
      </c>
      <c r="AD532" s="29">
        <v>14000</v>
      </c>
      <c r="AE532" s="30">
        <v>7</v>
      </c>
      <c r="AF532" s="29">
        <v>0</v>
      </c>
      <c r="AG532" s="30">
        <v>0</v>
      </c>
      <c r="AH532" s="2" t="e">
        <v>#N/A</v>
      </c>
      <c r="AI532" s="2" t="e">
        <v>#N/A</v>
      </c>
      <c r="AJ532" s="2" t="s">
        <v>5</v>
      </c>
      <c r="AK532" s="2" t="s">
        <v>5</v>
      </c>
    </row>
    <row r="533" spans="3:37" ht="12.5">
      <c r="C533" s="2" t="str">
        <f ca="1"/>
        <v/>
      </c>
      <c r="D533" s="2" t="str">
        <v/>
      </c>
      <c r="E533" s="29" t="str">
        <v/>
      </c>
      <c r="F533" s="30" t="str">
        <v/>
      </c>
      <c r="G533" s="29" t="str">
        <v/>
      </c>
      <c r="H533" s="30" t="str">
        <v/>
      </c>
      <c r="I533" s="29" t="str">
        <v/>
      </c>
      <c r="J533" s="29" t="str">
        <v/>
      </c>
      <c r="K533" s="29" t="str">
        <v/>
      </c>
      <c r="L533" s="29" t="str">
        <v/>
      </c>
      <c r="M533" s="29" t="str">
        <v/>
      </c>
      <c r="N533" s="29" t="str">
        <v/>
      </c>
      <c r="O533" s="2" t="str">
        <f ca="1"/>
        <v/>
      </c>
      <c r="P533" s="2" t="str">
        <f ca="1"/>
        <v/>
      </c>
      <c r="Q533" s="2" t="s">
        <v>5</v>
      </c>
      <c r="R533" s="2" t="s">
        <v>5</v>
      </c>
      <c r="U533" s="2" t="s">
        <v>37</v>
      </c>
      <c r="V533" s="2" t="e">
        <v>#N/A</v>
      </c>
      <c r="W533" s="31">
        <v>2500</v>
      </c>
      <c r="X533" s="29">
        <v>2500</v>
      </c>
      <c r="Y533" s="30">
        <v>1</v>
      </c>
      <c r="Z533" s="29">
        <v>0</v>
      </c>
      <c r="AA533" s="30">
        <v>0</v>
      </c>
      <c r="AB533" s="29">
        <v>2000</v>
      </c>
      <c r="AC533" s="30">
        <v>1</v>
      </c>
      <c r="AD533" s="29">
        <v>0</v>
      </c>
      <c r="AE533" s="30">
        <v>0</v>
      </c>
      <c r="AF533" s="29">
        <v>0</v>
      </c>
      <c r="AG533" s="30">
        <v>0</v>
      </c>
      <c r="AH533" s="2" t="e">
        <v>#N/A</v>
      </c>
      <c r="AI533" s="2" t="e">
        <v>#N/A</v>
      </c>
      <c r="AJ533" s="2" t="s">
        <v>5</v>
      </c>
      <c r="AK533" s="2" t="s">
        <v>5</v>
      </c>
    </row>
    <row r="534" spans="3:37" ht="12.5">
      <c r="C534" s="2" t="str">
        <f ca="1"/>
        <v/>
      </c>
      <c r="D534" s="2" t="str">
        <v/>
      </c>
      <c r="E534" s="29" t="str">
        <v/>
      </c>
      <c r="F534" s="30" t="str">
        <v/>
      </c>
      <c r="G534" s="29" t="str">
        <v/>
      </c>
      <c r="H534" s="30" t="str">
        <v/>
      </c>
      <c r="I534" s="29" t="str">
        <v/>
      </c>
      <c r="J534" s="29" t="str">
        <v/>
      </c>
      <c r="K534" s="29" t="str">
        <v/>
      </c>
      <c r="L534" s="29" t="str">
        <v/>
      </c>
      <c r="M534" s="29" t="str">
        <v/>
      </c>
      <c r="N534" s="29" t="str">
        <v/>
      </c>
      <c r="O534" s="2" t="str">
        <f ca="1"/>
        <v/>
      </c>
      <c r="P534" s="2" t="str">
        <f ca="1"/>
        <v/>
      </c>
      <c r="Q534" s="2" t="s">
        <v>5</v>
      </c>
      <c r="R534" s="2" t="s">
        <v>5</v>
      </c>
      <c r="U534" s="2" t="s">
        <v>38</v>
      </c>
      <c r="V534" s="2" t="e">
        <v>#N/A</v>
      </c>
      <c r="W534" s="31">
        <v>2500</v>
      </c>
      <c r="X534" s="29">
        <v>2500</v>
      </c>
      <c r="Y534" s="30">
        <v>1</v>
      </c>
      <c r="Z534" s="29">
        <v>0</v>
      </c>
      <c r="AA534" s="30">
        <v>0</v>
      </c>
      <c r="AB534" s="29">
        <v>2000</v>
      </c>
      <c r="AC534" s="30">
        <v>1</v>
      </c>
      <c r="AD534" s="29">
        <v>0</v>
      </c>
      <c r="AE534" s="30">
        <v>0</v>
      </c>
      <c r="AF534" s="29">
        <v>0</v>
      </c>
      <c r="AG534" s="30">
        <v>0</v>
      </c>
      <c r="AH534" s="2" t="e">
        <v>#N/A</v>
      </c>
      <c r="AI534" s="2" t="e">
        <v>#N/A</v>
      </c>
      <c r="AJ534" s="2" t="s">
        <v>5</v>
      </c>
      <c r="AK534" s="2" t="s">
        <v>5</v>
      </c>
    </row>
    <row r="535" spans="3:37" ht="12.5">
      <c r="C535" s="2" t="str">
        <f ca="1"/>
        <v/>
      </c>
      <c r="D535" s="2" t="str">
        <v/>
      </c>
      <c r="E535" s="29" t="str">
        <v/>
      </c>
      <c r="F535" s="30" t="str">
        <v/>
      </c>
      <c r="G535" s="29" t="str">
        <v/>
      </c>
      <c r="H535" s="30" t="str">
        <v/>
      </c>
      <c r="I535" s="29" t="str">
        <v/>
      </c>
      <c r="J535" s="29" t="str">
        <v/>
      </c>
      <c r="K535" s="29" t="str">
        <v/>
      </c>
      <c r="L535" s="29" t="str">
        <v/>
      </c>
      <c r="M535" s="29" t="str">
        <v/>
      </c>
      <c r="N535" s="29" t="str">
        <v/>
      </c>
      <c r="O535" s="2" t="str">
        <f ca="1"/>
        <v/>
      </c>
      <c r="P535" s="2" t="str">
        <f ca="1"/>
        <v/>
      </c>
      <c r="Q535" s="2" t="s">
        <v>5</v>
      </c>
      <c r="R535" s="2" t="s">
        <v>5</v>
      </c>
      <c r="U535" s="2" t="s">
        <v>40</v>
      </c>
      <c r="V535" s="2" t="e">
        <v>#N/A</v>
      </c>
      <c r="W535" s="31">
        <v>2500</v>
      </c>
      <c r="X535" s="29">
        <v>2500</v>
      </c>
      <c r="Y535" s="30">
        <v>1</v>
      </c>
      <c r="Z535" s="29">
        <v>0</v>
      </c>
      <c r="AA535" s="30">
        <v>0</v>
      </c>
      <c r="AB535" s="29">
        <v>6000</v>
      </c>
      <c r="AC535" s="30">
        <v>3</v>
      </c>
      <c r="AD535" s="29">
        <v>2000</v>
      </c>
      <c r="AE535" s="30">
        <v>1</v>
      </c>
      <c r="AF535" s="29">
        <v>0</v>
      </c>
      <c r="AG535" s="30">
        <v>0</v>
      </c>
      <c r="AH535" s="2" t="e">
        <v>#N/A</v>
      </c>
      <c r="AI535" s="2" t="e">
        <v>#N/A</v>
      </c>
      <c r="AJ535" s="2" t="s">
        <v>5</v>
      </c>
      <c r="AK535" s="2" t="s">
        <v>5</v>
      </c>
    </row>
    <row r="536" spans="3:37" ht="12.5">
      <c r="C536" s="2" t="str">
        <f ca="1"/>
        <v/>
      </c>
      <c r="D536" s="2" t="str">
        <v/>
      </c>
      <c r="E536" s="29" t="str">
        <v/>
      </c>
      <c r="F536" s="30" t="str">
        <v/>
      </c>
      <c r="G536" s="29" t="str">
        <v/>
      </c>
      <c r="H536" s="30" t="str">
        <v/>
      </c>
      <c r="I536" s="29" t="str">
        <v/>
      </c>
      <c r="J536" s="29" t="str">
        <v/>
      </c>
      <c r="K536" s="29" t="str">
        <v/>
      </c>
      <c r="L536" s="29" t="str">
        <v/>
      </c>
      <c r="M536" s="29" t="str">
        <v/>
      </c>
      <c r="N536" s="29" t="str">
        <v/>
      </c>
      <c r="O536" s="2" t="str">
        <f ca="1"/>
        <v/>
      </c>
      <c r="P536" s="2" t="str">
        <f ca="1"/>
        <v/>
      </c>
      <c r="Q536" s="2" t="s">
        <v>5</v>
      </c>
      <c r="R536" s="2" t="s">
        <v>5</v>
      </c>
      <c r="U536" s="2" t="s">
        <v>41</v>
      </c>
      <c r="V536" s="2" t="e">
        <v>#N/A</v>
      </c>
      <c r="W536" s="31">
        <v>7500</v>
      </c>
      <c r="X536" s="29">
        <v>2500</v>
      </c>
      <c r="Y536" s="30">
        <v>1</v>
      </c>
      <c r="Z536" s="29">
        <v>5000</v>
      </c>
      <c r="AA536" s="30">
        <v>2</v>
      </c>
      <c r="AB536" s="29">
        <v>8000</v>
      </c>
      <c r="AC536" s="30">
        <v>4</v>
      </c>
      <c r="AD536" s="29">
        <v>4000</v>
      </c>
      <c r="AE536" s="30">
        <v>2</v>
      </c>
      <c r="AF536" s="29">
        <v>0</v>
      </c>
      <c r="AG536" s="30">
        <v>0</v>
      </c>
      <c r="AH536" s="2" t="e">
        <v>#N/A</v>
      </c>
      <c r="AI536" s="2" t="e">
        <v>#N/A</v>
      </c>
      <c r="AJ536" s="2" t="s">
        <v>5</v>
      </c>
      <c r="AK536" s="2" t="s">
        <v>5</v>
      </c>
    </row>
    <row r="537" spans="3:37" ht="12.5">
      <c r="C537" s="2" t="str">
        <f ca="1"/>
        <v/>
      </c>
      <c r="D537" s="2" t="str">
        <v/>
      </c>
      <c r="E537" s="29" t="str">
        <v/>
      </c>
      <c r="F537" s="30" t="str">
        <v/>
      </c>
      <c r="G537" s="29" t="str">
        <v/>
      </c>
      <c r="H537" s="30" t="str">
        <v/>
      </c>
      <c r="I537" s="29" t="str">
        <v/>
      </c>
      <c r="J537" s="29" t="str">
        <v/>
      </c>
      <c r="K537" s="29" t="str">
        <v/>
      </c>
      <c r="L537" s="29" t="str">
        <v/>
      </c>
      <c r="M537" s="29" t="str">
        <v/>
      </c>
      <c r="N537" s="29" t="str">
        <v/>
      </c>
      <c r="O537" s="2" t="str">
        <f ca="1"/>
        <v/>
      </c>
      <c r="P537" s="2" t="str">
        <f ca="1"/>
        <v/>
      </c>
      <c r="Q537" s="2" t="s">
        <v>5</v>
      </c>
      <c r="R537" s="2" t="s">
        <v>5</v>
      </c>
      <c r="U537" s="2" t="s">
        <v>42</v>
      </c>
      <c r="V537" s="2" t="e">
        <v>#N/A</v>
      </c>
      <c r="W537" s="31">
        <v>22500</v>
      </c>
      <c r="X537" s="29">
        <v>7500</v>
      </c>
      <c r="Y537" s="30">
        <v>3</v>
      </c>
      <c r="Z537" s="29">
        <v>15000</v>
      </c>
      <c r="AA537" s="30">
        <v>6</v>
      </c>
      <c r="AB537" s="29">
        <v>18000</v>
      </c>
      <c r="AC537" s="30">
        <v>9</v>
      </c>
      <c r="AD537" s="29">
        <v>12000</v>
      </c>
      <c r="AE537" s="30">
        <v>6</v>
      </c>
      <c r="AF537" s="29">
        <v>0</v>
      </c>
      <c r="AG537" s="30">
        <v>0</v>
      </c>
      <c r="AH537" s="2" t="e">
        <v>#N/A</v>
      </c>
      <c r="AI537" s="2" t="e">
        <v>#N/A</v>
      </c>
      <c r="AJ537" s="2" t="s">
        <v>5</v>
      </c>
      <c r="AK537" s="2" t="s">
        <v>5</v>
      </c>
    </row>
    <row r="538" spans="3:37" ht="12.5">
      <c r="C538" s="2" t="str">
        <f ca="1"/>
        <v/>
      </c>
      <c r="D538" s="2" t="str">
        <v/>
      </c>
      <c r="E538" s="29" t="str">
        <v/>
      </c>
      <c r="F538" s="30" t="str">
        <v/>
      </c>
      <c r="G538" s="29" t="str">
        <v/>
      </c>
      <c r="H538" s="30" t="str">
        <v/>
      </c>
      <c r="I538" s="29" t="str">
        <v/>
      </c>
      <c r="J538" s="29" t="str">
        <v/>
      </c>
      <c r="K538" s="29" t="str">
        <v/>
      </c>
      <c r="L538" s="29" t="str">
        <v/>
      </c>
      <c r="M538" s="29" t="str">
        <v/>
      </c>
      <c r="N538" s="29" t="str">
        <v/>
      </c>
      <c r="O538" s="2" t="str">
        <f ca="1"/>
        <v/>
      </c>
      <c r="P538" s="2" t="str">
        <f ca="1"/>
        <v/>
      </c>
      <c r="Q538" s="2" t="s">
        <v>5</v>
      </c>
      <c r="R538" s="2" t="s">
        <v>5</v>
      </c>
      <c r="U538" s="2" t="s">
        <v>43</v>
      </c>
      <c r="V538" s="2" t="e">
        <v>#N/A</v>
      </c>
      <c r="W538" s="31">
        <v>7500</v>
      </c>
      <c r="X538" s="29">
        <v>5000</v>
      </c>
      <c r="Y538" s="30">
        <v>2</v>
      </c>
      <c r="Z538" s="29">
        <v>2500</v>
      </c>
      <c r="AA538" s="30">
        <v>1</v>
      </c>
      <c r="AB538" s="29">
        <v>12000</v>
      </c>
      <c r="AC538" s="30">
        <v>6</v>
      </c>
      <c r="AD538" s="29">
        <v>16000</v>
      </c>
      <c r="AE538" s="30">
        <v>8</v>
      </c>
      <c r="AF538" s="29">
        <v>0</v>
      </c>
      <c r="AG538" s="30">
        <v>0</v>
      </c>
      <c r="AH538" s="2" t="e">
        <v>#N/A</v>
      </c>
      <c r="AI538" s="2" t="e">
        <v>#N/A</v>
      </c>
      <c r="AJ538" s="2" t="s">
        <v>5</v>
      </c>
      <c r="AK538" s="2" t="s">
        <v>5</v>
      </c>
    </row>
    <row r="539" spans="3:37" ht="12.5">
      <c r="C539" s="2" t="str">
        <f ca="1"/>
        <v/>
      </c>
      <c r="D539" s="2" t="str">
        <v/>
      </c>
      <c r="E539" s="29" t="str">
        <v/>
      </c>
      <c r="F539" s="30" t="str">
        <v/>
      </c>
      <c r="G539" s="29" t="str">
        <v/>
      </c>
      <c r="H539" s="30" t="str">
        <v/>
      </c>
      <c r="I539" s="29" t="str">
        <v/>
      </c>
      <c r="J539" s="29" t="str">
        <v/>
      </c>
      <c r="K539" s="29" t="str">
        <v/>
      </c>
      <c r="L539" s="29" t="str">
        <v/>
      </c>
      <c r="M539" s="29" t="str">
        <v/>
      </c>
      <c r="N539" s="29" t="str">
        <v/>
      </c>
      <c r="O539" s="2" t="str">
        <f ca="1"/>
        <v/>
      </c>
      <c r="P539" s="2" t="str">
        <f ca="1"/>
        <v/>
      </c>
      <c r="Q539" s="2" t="s">
        <v>5</v>
      </c>
      <c r="R539" s="2" t="s">
        <v>5</v>
      </c>
      <c r="U539" s="2" t="s">
        <v>44</v>
      </c>
      <c r="V539" s="2" t="e">
        <v>#N/A</v>
      </c>
      <c r="W539" s="31">
        <v>2500</v>
      </c>
      <c r="X539" s="29">
        <v>2500</v>
      </c>
      <c r="Y539" s="30">
        <v>1</v>
      </c>
      <c r="Z539" s="29">
        <v>0</v>
      </c>
      <c r="AA539" s="30">
        <v>0</v>
      </c>
      <c r="AB539" s="29">
        <v>0</v>
      </c>
      <c r="AC539" s="30">
        <v>0</v>
      </c>
      <c r="AD539" s="29">
        <v>2000</v>
      </c>
      <c r="AE539" s="30">
        <v>1</v>
      </c>
      <c r="AF539" s="29">
        <v>0</v>
      </c>
      <c r="AG539" s="30">
        <v>0</v>
      </c>
      <c r="AH539" s="2" t="e">
        <v>#N/A</v>
      </c>
      <c r="AI539" s="2" t="e">
        <v>#N/A</v>
      </c>
      <c r="AJ539" s="2" t="s">
        <v>5</v>
      </c>
      <c r="AK539" s="2" t="s">
        <v>5</v>
      </c>
    </row>
    <row r="540" spans="3:37" ht="12.5">
      <c r="C540" s="2" t="str">
        <f ca="1"/>
        <v/>
      </c>
      <c r="D540" s="2" t="str">
        <v/>
      </c>
      <c r="E540" s="29" t="str">
        <v/>
      </c>
      <c r="F540" s="30" t="str">
        <v/>
      </c>
      <c r="G540" s="29" t="str">
        <v/>
      </c>
      <c r="H540" s="30" t="str">
        <v/>
      </c>
      <c r="I540" s="29" t="str">
        <v/>
      </c>
      <c r="J540" s="29" t="str">
        <v/>
      </c>
      <c r="K540" s="29" t="str">
        <v/>
      </c>
      <c r="L540" s="29" t="str">
        <v/>
      </c>
      <c r="M540" s="29" t="str">
        <v/>
      </c>
      <c r="N540" s="29" t="str">
        <v/>
      </c>
      <c r="O540" s="2" t="str">
        <f ca="1"/>
        <v/>
      </c>
      <c r="P540" s="2" t="str">
        <f ca="1"/>
        <v/>
      </c>
      <c r="Q540" s="2" t="s">
        <v>5</v>
      </c>
      <c r="R540" s="2" t="s">
        <v>5</v>
      </c>
      <c r="U540" s="2" t="s">
        <v>45</v>
      </c>
      <c r="V540" s="2" t="e">
        <v>#N/A</v>
      </c>
      <c r="W540" s="31">
        <v>15000</v>
      </c>
      <c r="X540" s="29">
        <v>2500</v>
      </c>
      <c r="Y540" s="30">
        <v>1</v>
      </c>
      <c r="Z540" s="29">
        <v>12500</v>
      </c>
      <c r="AA540" s="30">
        <v>5</v>
      </c>
      <c r="AB540" s="29">
        <v>12000</v>
      </c>
      <c r="AC540" s="30">
        <v>6</v>
      </c>
      <c r="AD540" s="29">
        <v>18000</v>
      </c>
      <c r="AE540" s="30">
        <v>9</v>
      </c>
      <c r="AF540" s="29">
        <v>0</v>
      </c>
      <c r="AG540" s="30">
        <v>0</v>
      </c>
      <c r="AH540" s="2" t="e">
        <v>#N/A</v>
      </c>
      <c r="AI540" s="2" t="e">
        <v>#N/A</v>
      </c>
      <c r="AJ540" s="2" t="s">
        <v>5</v>
      </c>
      <c r="AK540" s="2" t="s">
        <v>5</v>
      </c>
    </row>
    <row r="541" spans="3:37" ht="12.5">
      <c r="C541" s="2" t="str">
        <f ca="1"/>
        <v/>
      </c>
      <c r="D541" s="2" t="str">
        <v/>
      </c>
      <c r="E541" s="29" t="str">
        <v/>
      </c>
      <c r="F541" s="30" t="str">
        <v/>
      </c>
      <c r="G541" s="29" t="str">
        <v/>
      </c>
      <c r="H541" s="30" t="str">
        <v/>
      </c>
      <c r="I541" s="29" t="str">
        <v/>
      </c>
      <c r="J541" s="29" t="str">
        <v/>
      </c>
      <c r="K541" s="29" t="str">
        <v/>
      </c>
      <c r="L541" s="29" t="str">
        <v/>
      </c>
      <c r="M541" s="29" t="str">
        <v/>
      </c>
      <c r="N541" s="29" t="str">
        <v/>
      </c>
      <c r="O541" s="2" t="str">
        <f ca="1"/>
        <v/>
      </c>
      <c r="P541" s="2" t="str">
        <f ca="1"/>
        <v/>
      </c>
      <c r="Q541" s="2" t="s">
        <v>5</v>
      </c>
      <c r="R541" s="2" t="s">
        <v>5</v>
      </c>
      <c r="U541" s="2" t="s">
        <v>46</v>
      </c>
      <c r="V541" s="2" t="e">
        <v>#N/A</v>
      </c>
      <c r="W541" s="31">
        <v>7500</v>
      </c>
      <c r="X541" s="29">
        <v>2500</v>
      </c>
      <c r="Y541" s="30">
        <v>1</v>
      </c>
      <c r="Z541" s="29">
        <v>5000</v>
      </c>
      <c r="AA541" s="30">
        <v>2</v>
      </c>
      <c r="AB541" s="29">
        <v>4000</v>
      </c>
      <c r="AC541" s="30">
        <v>2</v>
      </c>
      <c r="AD541" s="29">
        <v>6000</v>
      </c>
      <c r="AE541" s="30">
        <v>3</v>
      </c>
      <c r="AF541" s="29">
        <v>0</v>
      </c>
      <c r="AG541" s="30">
        <v>0</v>
      </c>
      <c r="AH541" s="2" t="e">
        <v>#N/A</v>
      </c>
      <c r="AI541" s="2" t="e">
        <v>#N/A</v>
      </c>
      <c r="AJ541" s="2" t="s">
        <v>5</v>
      </c>
      <c r="AK541" s="2" t="s">
        <v>5</v>
      </c>
    </row>
    <row r="542" spans="3:37" ht="12.5">
      <c r="C542" s="2" t="str">
        <f ca="1"/>
        <v/>
      </c>
      <c r="D542" s="2" t="str">
        <v/>
      </c>
      <c r="E542" s="29" t="str">
        <v/>
      </c>
      <c r="F542" s="30" t="str">
        <v/>
      </c>
      <c r="G542" s="29" t="str">
        <v/>
      </c>
      <c r="H542" s="30" t="str">
        <v/>
      </c>
      <c r="I542" s="29" t="str">
        <v/>
      </c>
      <c r="J542" s="29" t="str">
        <v/>
      </c>
      <c r="K542" s="29" t="str">
        <v/>
      </c>
      <c r="L542" s="29" t="str">
        <v/>
      </c>
      <c r="M542" s="29" t="str">
        <v/>
      </c>
      <c r="N542" s="29" t="str">
        <v/>
      </c>
      <c r="O542" s="2" t="str">
        <f ca="1"/>
        <v/>
      </c>
      <c r="P542" s="2" t="str">
        <f ca="1"/>
        <v/>
      </c>
      <c r="Q542" s="2" t="s">
        <v>5</v>
      </c>
      <c r="R542" s="2" t="s">
        <v>5</v>
      </c>
      <c r="U542" s="2" t="s">
        <v>47</v>
      </c>
      <c r="V542" s="2" t="e">
        <v>#N/A</v>
      </c>
      <c r="W542" s="31">
        <v>17500</v>
      </c>
      <c r="X542" s="29">
        <v>5000</v>
      </c>
      <c r="Y542" s="30">
        <v>2</v>
      </c>
      <c r="Z542" s="29">
        <v>12500</v>
      </c>
      <c r="AA542" s="30">
        <v>5</v>
      </c>
      <c r="AB542" s="29">
        <v>14000</v>
      </c>
      <c r="AC542" s="30">
        <v>7</v>
      </c>
      <c r="AD542" s="29">
        <v>2000</v>
      </c>
      <c r="AE542" s="30">
        <v>1</v>
      </c>
      <c r="AF542" s="29">
        <v>0</v>
      </c>
      <c r="AG542" s="30">
        <v>0</v>
      </c>
      <c r="AH542" s="2" t="e">
        <v>#N/A</v>
      </c>
      <c r="AI542" s="2" t="e">
        <v>#N/A</v>
      </c>
      <c r="AJ542" s="2" t="s">
        <v>5</v>
      </c>
      <c r="AK542" s="2" t="s">
        <v>5</v>
      </c>
    </row>
    <row r="543" spans="3:37" ht="12.5">
      <c r="C543" s="2" t="str">
        <f ca="1"/>
        <v/>
      </c>
      <c r="D543" s="2" t="str">
        <v/>
      </c>
      <c r="E543" s="29" t="str">
        <v/>
      </c>
      <c r="F543" s="30" t="str">
        <v/>
      </c>
      <c r="G543" s="29" t="str">
        <v/>
      </c>
      <c r="H543" s="30" t="str">
        <v/>
      </c>
      <c r="I543" s="29" t="str">
        <v/>
      </c>
      <c r="J543" s="29" t="str">
        <v/>
      </c>
      <c r="K543" s="29" t="str">
        <v/>
      </c>
      <c r="L543" s="29" t="str">
        <v/>
      </c>
      <c r="M543" s="29" t="str">
        <v/>
      </c>
      <c r="N543" s="29" t="str">
        <v/>
      </c>
      <c r="O543" s="2" t="str">
        <f ca="1"/>
        <v/>
      </c>
      <c r="P543" s="2" t="str">
        <f ca="1"/>
        <v/>
      </c>
      <c r="Q543" s="2" t="s">
        <v>5</v>
      </c>
      <c r="R543" s="2" t="s">
        <v>5</v>
      </c>
      <c r="U543" s="2" t="s">
        <v>49</v>
      </c>
      <c r="V543" s="2" t="e">
        <v>#N/A</v>
      </c>
      <c r="W543" s="31">
        <v>20000</v>
      </c>
      <c r="X543" s="29">
        <v>7500</v>
      </c>
      <c r="Y543" s="30">
        <v>3</v>
      </c>
      <c r="Z543" s="29">
        <v>12500</v>
      </c>
      <c r="AA543" s="30">
        <v>5</v>
      </c>
      <c r="AB543" s="29">
        <v>12000</v>
      </c>
      <c r="AC543" s="30">
        <v>6</v>
      </c>
      <c r="AD543" s="29">
        <v>8000</v>
      </c>
      <c r="AE543" s="30">
        <v>4</v>
      </c>
      <c r="AF543" s="29">
        <v>0</v>
      </c>
      <c r="AG543" s="30">
        <v>0</v>
      </c>
      <c r="AH543" s="2" t="e">
        <v>#N/A</v>
      </c>
      <c r="AI543" s="2" t="e">
        <v>#N/A</v>
      </c>
      <c r="AJ543" s="2" t="s">
        <v>5</v>
      </c>
      <c r="AK543" s="2" t="s">
        <v>5</v>
      </c>
    </row>
    <row r="544" spans="3:37" ht="12.5">
      <c r="C544" s="2" t="str">
        <f ca="1"/>
        <v/>
      </c>
      <c r="D544" s="2" t="str">
        <v/>
      </c>
      <c r="E544" s="29" t="str">
        <v/>
      </c>
      <c r="F544" s="30" t="str">
        <v/>
      </c>
      <c r="G544" s="29" t="str">
        <v/>
      </c>
      <c r="H544" s="30" t="str">
        <v/>
      </c>
      <c r="I544" s="29" t="str">
        <v/>
      </c>
      <c r="J544" s="29" t="str">
        <v/>
      </c>
      <c r="K544" s="29" t="str">
        <v/>
      </c>
      <c r="L544" s="29" t="str">
        <v/>
      </c>
      <c r="M544" s="29" t="str">
        <v/>
      </c>
      <c r="N544" s="29" t="str">
        <v/>
      </c>
      <c r="O544" s="2" t="str">
        <f ca="1"/>
        <v/>
      </c>
      <c r="P544" s="2" t="str">
        <f ca="1"/>
        <v/>
      </c>
      <c r="Q544" s="2" t="s">
        <v>5</v>
      </c>
      <c r="R544" s="2" t="s">
        <v>5</v>
      </c>
      <c r="U544" s="2" t="s">
        <v>50</v>
      </c>
      <c r="V544" s="2" t="e">
        <v>#N/A</v>
      </c>
      <c r="W544" s="31">
        <v>12500</v>
      </c>
      <c r="X544" s="29">
        <v>2500</v>
      </c>
      <c r="Y544" s="30">
        <v>1</v>
      </c>
      <c r="Z544" s="29">
        <v>10000</v>
      </c>
      <c r="AA544" s="30">
        <v>4</v>
      </c>
      <c r="AB544" s="29">
        <v>2000</v>
      </c>
      <c r="AC544" s="30">
        <v>1</v>
      </c>
      <c r="AD544" s="29">
        <v>2000</v>
      </c>
      <c r="AE544" s="30">
        <v>1</v>
      </c>
      <c r="AF544" s="29">
        <v>0</v>
      </c>
      <c r="AG544" s="30">
        <v>0</v>
      </c>
      <c r="AH544" s="2" t="e">
        <v>#N/A</v>
      </c>
      <c r="AI544" s="2" t="e">
        <v>#N/A</v>
      </c>
      <c r="AJ544" s="2" t="s">
        <v>5</v>
      </c>
      <c r="AK544" s="2" t="s">
        <v>5</v>
      </c>
    </row>
    <row r="545" spans="3:37" ht="12.5">
      <c r="C545" s="2" t="str">
        <f ca="1"/>
        <v/>
      </c>
      <c r="D545" s="2" t="str">
        <v/>
      </c>
      <c r="E545" s="29" t="str">
        <v/>
      </c>
      <c r="F545" s="30" t="str">
        <v/>
      </c>
      <c r="G545" s="29" t="str">
        <v/>
      </c>
      <c r="H545" s="30" t="str">
        <v/>
      </c>
      <c r="I545" s="29" t="str">
        <v/>
      </c>
      <c r="J545" s="29" t="str">
        <v/>
      </c>
      <c r="K545" s="29" t="str">
        <v/>
      </c>
      <c r="L545" s="29" t="str">
        <v/>
      </c>
      <c r="M545" s="29" t="str">
        <v/>
      </c>
      <c r="N545" s="29" t="str">
        <v/>
      </c>
      <c r="O545" s="2" t="str">
        <f ca="1"/>
        <v/>
      </c>
      <c r="P545" s="2" t="str">
        <f ca="1"/>
        <v/>
      </c>
      <c r="Q545" s="2" t="s">
        <v>5</v>
      </c>
      <c r="R545" s="2" t="s">
        <v>5</v>
      </c>
      <c r="U545" s="2" t="s">
        <v>51</v>
      </c>
      <c r="V545" s="2" t="e">
        <v>#N/A</v>
      </c>
      <c r="W545" s="31">
        <v>5000</v>
      </c>
      <c r="X545" s="29">
        <v>5000</v>
      </c>
      <c r="Y545" s="30">
        <v>2</v>
      </c>
      <c r="Z545" s="29">
        <v>0</v>
      </c>
      <c r="AA545" s="30">
        <v>0</v>
      </c>
      <c r="AB545" s="29">
        <v>0</v>
      </c>
      <c r="AC545" s="30">
        <v>0</v>
      </c>
      <c r="AD545" s="29">
        <v>0</v>
      </c>
      <c r="AE545" s="30">
        <v>0</v>
      </c>
      <c r="AF545" s="29">
        <v>0</v>
      </c>
      <c r="AG545" s="30">
        <v>0</v>
      </c>
      <c r="AH545" s="2" t="e">
        <v>#N/A</v>
      </c>
      <c r="AI545" s="2" t="e">
        <v>#N/A</v>
      </c>
      <c r="AJ545" s="2" t="s">
        <v>5</v>
      </c>
      <c r="AK545" s="2" t="s">
        <v>5</v>
      </c>
    </row>
    <row r="546" spans="3:37" ht="12.5">
      <c r="C546" s="2" t="str">
        <f ca="1"/>
        <v/>
      </c>
      <c r="D546" s="2" t="str">
        <v/>
      </c>
      <c r="E546" s="29" t="str">
        <v/>
      </c>
      <c r="F546" s="30" t="str">
        <v/>
      </c>
      <c r="G546" s="29" t="str">
        <v/>
      </c>
      <c r="H546" s="30" t="str">
        <v/>
      </c>
      <c r="I546" s="29" t="str">
        <v/>
      </c>
      <c r="J546" s="29" t="str">
        <v/>
      </c>
      <c r="K546" s="29" t="str">
        <v/>
      </c>
      <c r="L546" s="29" t="str">
        <v/>
      </c>
      <c r="M546" s="29" t="str">
        <v/>
      </c>
      <c r="N546" s="29" t="str">
        <v/>
      </c>
      <c r="O546" s="2" t="str">
        <f ca="1"/>
        <v/>
      </c>
      <c r="P546" s="2" t="str">
        <f ca="1"/>
        <v/>
      </c>
      <c r="Q546" s="2" t="s">
        <v>5</v>
      </c>
      <c r="R546" s="2" t="s">
        <v>5</v>
      </c>
      <c r="U546" s="2" t="s">
        <v>52</v>
      </c>
      <c r="V546" s="2" t="e">
        <v>#N/A</v>
      </c>
      <c r="W546" s="31">
        <v>7500</v>
      </c>
      <c r="X546" s="29">
        <v>2500</v>
      </c>
      <c r="Y546" s="30">
        <v>1</v>
      </c>
      <c r="Z546" s="29">
        <v>5000</v>
      </c>
      <c r="AA546" s="30">
        <v>2</v>
      </c>
      <c r="AB546" s="29">
        <v>6000</v>
      </c>
      <c r="AC546" s="30">
        <v>3</v>
      </c>
      <c r="AD546" s="29">
        <v>18000</v>
      </c>
      <c r="AE546" s="30">
        <v>9</v>
      </c>
      <c r="AF546" s="29">
        <v>0</v>
      </c>
      <c r="AG546" s="30">
        <v>0</v>
      </c>
      <c r="AH546" s="2" t="e">
        <v>#N/A</v>
      </c>
      <c r="AI546" s="2" t="e">
        <v>#N/A</v>
      </c>
      <c r="AJ546" s="2" t="s">
        <v>5</v>
      </c>
      <c r="AK546" s="2" t="s">
        <v>5</v>
      </c>
    </row>
    <row r="547" spans="3:37" ht="12.5">
      <c r="C547" s="2" t="str">
        <f ca="1"/>
        <v/>
      </c>
      <c r="D547" s="2" t="str">
        <v/>
      </c>
      <c r="E547" s="29" t="str">
        <v/>
      </c>
      <c r="F547" s="30" t="str">
        <v/>
      </c>
      <c r="G547" s="29" t="str">
        <v/>
      </c>
      <c r="H547" s="30" t="str">
        <v/>
      </c>
      <c r="I547" s="29" t="str">
        <v/>
      </c>
      <c r="J547" s="29" t="str">
        <v/>
      </c>
      <c r="K547" s="29" t="str">
        <v/>
      </c>
      <c r="L547" s="29" t="str">
        <v/>
      </c>
      <c r="M547" s="29" t="str">
        <v/>
      </c>
      <c r="N547" s="29" t="str">
        <v/>
      </c>
      <c r="O547" s="2" t="str">
        <f ca="1"/>
        <v/>
      </c>
      <c r="P547" s="2" t="str">
        <f ca="1"/>
        <v/>
      </c>
      <c r="Q547" s="2" t="s">
        <v>5</v>
      </c>
      <c r="R547" s="2" t="s">
        <v>5</v>
      </c>
      <c r="U547" s="2" t="s">
        <v>53</v>
      </c>
      <c r="V547" s="2" t="e">
        <v>#N/A</v>
      </c>
      <c r="W547" s="31">
        <v>12500</v>
      </c>
      <c r="X547" s="29">
        <v>2500</v>
      </c>
      <c r="Y547" s="30">
        <v>1</v>
      </c>
      <c r="Z547" s="29">
        <v>10000</v>
      </c>
      <c r="AA547" s="30">
        <v>4</v>
      </c>
      <c r="AB547" s="29">
        <v>2000</v>
      </c>
      <c r="AC547" s="30">
        <v>1</v>
      </c>
      <c r="AD547" s="29">
        <v>4000</v>
      </c>
      <c r="AE547" s="30">
        <v>2</v>
      </c>
      <c r="AF547" s="29">
        <v>0</v>
      </c>
      <c r="AG547" s="30">
        <v>0</v>
      </c>
      <c r="AH547" s="2" t="e">
        <v>#N/A</v>
      </c>
      <c r="AI547" s="2" t="e">
        <v>#N/A</v>
      </c>
      <c r="AJ547" s="2" t="s">
        <v>5</v>
      </c>
      <c r="AK547" s="2" t="s">
        <v>5</v>
      </c>
    </row>
    <row r="548" spans="3:37" ht="12.5">
      <c r="C548" s="2" t="str">
        <f ca="1"/>
        <v/>
      </c>
      <c r="D548" s="2" t="str">
        <v/>
      </c>
      <c r="E548" s="29" t="str">
        <v/>
      </c>
      <c r="F548" s="30" t="str">
        <v/>
      </c>
      <c r="G548" s="29" t="str">
        <v/>
      </c>
      <c r="H548" s="30" t="str">
        <v/>
      </c>
      <c r="I548" s="29" t="str">
        <v/>
      </c>
      <c r="J548" s="29" t="str">
        <v/>
      </c>
      <c r="K548" s="29" t="str">
        <v/>
      </c>
      <c r="L548" s="29" t="str">
        <v/>
      </c>
      <c r="M548" s="29" t="str">
        <v/>
      </c>
      <c r="N548" s="29" t="str">
        <v/>
      </c>
      <c r="O548" s="2" t="str">
        <f ca="1"/>
        <v/>
      </c>
      <c r="P548" s="2" t="str">
        <f ca="1"/>
        <v/>
      </c>
      <c r="Q548" s="2" t="s">
        <v>5</v>
      </c>
      <c r="R548" s="2" t="s">
        <v>5</v>
      </c>
      <c r="U548" s="2" t="s">
        <v>54</v>
      </c>
      <c r="V548" s="2" t="e">
        <v>#N/A</v>
      </c>
      <c r="W548" s="31">
        <v>2500</v>
      </c>
      <c r="X548" s="29">
        <v>2500</v>
      </c>
      <c r="Y548" s="30">
        <v>1</v>
      </c>
      <c r="Z548" s="29">
        <v>0</v>
      </c>
      <c r="AA548" s="30">
        <v>0</v>
      </c>
      <c r="AB548" s="29">
        <v>0</v>
      </c>
      <c r="AC548" s="30">
        <v>0</v>
      </c>
      <c r="AD548" s="29">
        <v>0</v>
      </c>
      <c r="AE548" s="30">
        <v>0</v>
      </c>
      <c r="AF548" s="29">
        <v>0</v>
      </c>
      <c r="AG548" s="30">
        <v>0</v>
      </c>
      <c r="AH548" s="2" t="e">
        <v>#N/A</v>
      </c>
      <c r="AI548" s="2" t="e">
        <v>#N/A</v>
      </c>
      <c r="AJ548" s="2" t="s">
        <v>5</v>
      </c>
      <c r="AK548" s="2" t="s">
        <v>5</v>
      </c>
    </row>
    <row r="549" spans="3:37" ht="12.5">
      <c r="C549" s="2" t="str">
        <f ca="1"/>
        <v/>
      </c>
      <c r="D549" s="2" t="str">
        <v/>
      </c>
      <c r="E549" s="29" t="str">
        <v/>
      </c>
      <c r="F549" s="30" t="str">
        <v/>
      </c>
      <c r="G549" s="29" t="str">
        <v/>
      </c>
      <c r="H549" s="30" t="str">
        <v/>
      </c>
      <c r="I549" s="29" t="str">
        <v/>
      </c>
      <c r="J549" s="29" t="str">
        <v/>
      </c>
      <c r="K549" s="29" t="str">
        <v/>
      </c>
      <c r="L549" s="29" t="str">
        <v/>
      </c>
      <c r="M549" s="29" t="str">
        <v/>
      </c>
      <c r="N549" s="29" t="str">
        <v/>
      </c>
      <c r="O549" s="2" t="str">
        <f ca="1"/>
        <v/>
      </c>
      <c r="P549" s="2" t="str">
        <f ca="1"/>
        <v/>
      </c>
      <c r="Q549" s="2" t="s">
        <v>5</v>
      </c>
      <c r="R549" s="2" t="s">
        <v>5</v>
      </c>
      <c r="U549" s="2" t="s">
        <v>55</v>
      </c>
      <c r="V549" s="2" t="e">
        <v>#N/A</v>
      </c>
      <c r="W549" s="31">
        <v>2500</v>
      </c>
      <c r="X549" s="29">
        <v>2500</v>
      </c>
      <c r="Y549" s="30">
        <v>1</v>
      </c>
      <c r="Z549" s="29">
        <v>0</v>
      </c>
      <c r="AA549" s="30">
        <v>0</v>
      </c>
      <c r="AB549" s="29">
        <v>2000</v>
      </c>
      <c r="AC549" s="30">
        <v>1</v>
      </c>
      <c r="AD549" s="29">
        <v>14000</v>
      </c>
      <c r="AE549" s="30">
        <v>7</v>
      </c>
      <c r="AF549" s="29">
        <v>0</v>
      </c>
      <c r="AG549" s="30">
        <v>0</v>
      </c>
      <c r="AH549" s="2" t="e">
        <v>#N/A</v>
      </c>
      <c r="AI549" s="2" t="e">
        <v>#N/A</v>
      </c>
      <c r="AJ549" s="2" t="s">
        <v>5</v>
      </c>
      <c r="AK549" s="2" t="s">
        <v>5</v>
      </c>
    </row>
    <row r="550" spans="3:37" ht="12.5">
      <c r="C550" s="2" t="str">
        <f ca="1"/>
        <v/>
      </c>
      <c r="D550" s="2" t="str">
        <v/>
      </c>
      <c r="E550" s="29" t="str">
        <v/>
      </c>
      <c r="F550" s="30" t="str">
        <v/>
      </c>
      <c r="G550" s="29" t="str">
        <v/>
      </c>
      <c r="H550" s="30" t="str">
        <v/>
      </c>
      <c r="I550" s="29" t="str">
        <v/>
      </c>
      <c r="J550" s="29" t="str">
        <v/>
      </c>
      <c r="K550" s="29" t="str">
        <v/>
      </c>
      <c r="L550" s="29" t="str">
        <v/>
      </c>
      <c r="M550" s="29" t="str">
        <v/>
      </c>
      <c r="N550" s="29" t="str">
        <v/>
      </c>
      <c r="O550" s="2" t="str">
        <f ca="1"/>
        <v/>
      </c>
      <c r="P550" s="2" t="str">
        <f ca="1"/>
        <v/>
      </c>
      <c r="Q550" s="2" t="s">
        <v>5</v>
      </c>
      <c r="R550" s="2" t="s">
        <v>5</v>
      </c>
      <c r="U550" s="2" t="s">
        <v>56</v>
      </c>
      <c r="V550" s="2" t="e">
        <v>#N/A</v>
      </c>
      <c r="W550" s="31">
        <v>7500</v>
      </c>
      <c r="X550" s="29">
        <v>2500</v>
      </c>
      <c r="Y550" s="30">
        <v>1</v>
      </c>
      <c r="Z550" s="29">
        <v>5000</v>
      </c>
      <c r="AA550" s="30">
        <v>2</v>
      </c>
      <c r="AB550" s="29">
        <v>10000</v>
      </c>
      <c r="AC550" s="30">
        <v>5</v>
      </c>
      <c r="AD550" s="29">
        <v>14000</v>
      </c>
      <c r="AE550" s="30">
        <v>7</v>
      </c>
      <c r="AF550" s="29">
        <v>0</v>
      </c>
      <c r="AG550" s="30">
        <v>0</v>
      </c>
      <c r="AH550" s="2" t="e">
        <v>#N/A</v>
      </c>
      <c r="AI550" s="2" t="e">
        <v>#N/A</v>
      </c>
      <c r="AJ550" s="2" t="s">
        <v>5</v>
      </c>
      <c r="AK550" s="2" t="s">
        <v>5</v>
      </c>
    </row>
    <row r="551" spans="3:37" ht="12.5">
      <c r="C551" s="2" t="str">
        <f ca="1"/>
        <v/>
      </c>
      <c r="D551" s="2" t="str">
        <v/>
      </c>
      <c r="E551" s="29" t="str">
        <v/>
      </c>
      <c r="F551" s="30" t="str">
        <v/>
      </c>
      <c r="G551" s="29" t="str">
        <v/>
      </c>
      <c r="H551" s="30" t="str">
        <v/>
      </c>
      <c r="I551" s="29" t="str">
        <v/>
      </c>
      <c r="J551" s="29" t="str">
        <v/>
      </c>
      <c r="K551" s="29" t="str">
        <v/>
      </c>
      <c r="L551" s="29" t="str">
        <v/>
      </c>
      <c r="M551" s="29" t="str">
        <v/>
      </c>
      <c r="N551" s="29" t="str">
        <v/>
      </c>
      <c r="O551" s="2" t="str">
        <f ca="1"/>
        <v/>
      </c>
      <c r="P551" s="2" t="str">
        <f ca="1"/>
        <v/>
      </c>
      <c r="Q551" s="2" t="s">
        <v>5</v>
      </c>
      <c r="R551" s="2" t="s">
        <v>5</v>
      </c>
      <c r="U551" s="2" t="s">
        <v>58</v>
      </c>
      <c r="V551" s="2" t="e">
        <v>#N/A</v>
      </c>
      <c r="W551" s="31">
        <v>5000</v>
      </c>
      <c r="X551" s="29">
        <v>2500</v>
      </c>
      <c r="Y551" s="30">
        <v>1</v>
      </c>
      <c r="Z551" s="29">
        <v>2500</v>
      </c>
      <c r="AA551" s="30">
        <v>1</v>
      </c>
      <c r="AB551" s="29">
        <v>12000</v>
      </c>
      <c r="AC551" s="30">
        <v>6</v>
      </c>
      <c r="AD551" s="29">
        <v>8000</v>
      </c>
      <c r="AE551" s="30">
        <v>4</v>
      </c>
      <c r="AF551" s="29">
        <v>0</v>
      </c>
      <c r="AG551" s="30">
        <v>0</v>
      </c>
      <c r="AH551" s="2" t="e">
        <v>#N/A</v>
      </c>
      <c r="AI551" s="2" t="e">
        <v>#N/A</v>
      </c>
      <c r="AJ551" s="2" t="s">
        <v>5</v>
      </c>
      <c r="AK551" s="2" t="s">
        <v>5</v>
      </c>
    </row>
    <row r="552" spans="3:37" ht="12.5">
      <c r="C552" s="2" t="str">
        <f ca="1"/>
        <v/>
      </c>
      <c r="D552" s="2" t="str">
        <v/>
      </c>
      <c r="E552" s="29" t="str">
        <v/>
      </c>
      <c r="F552" s="30" t="str">
        <v/>
      </c>
      <c r="G552" s="29" t="str">
        <v/>
      </c>
      <c r="H552" s="30" t="str">
        <v/>
      </c>
      <c r="I552" s="29" t="str">
        <v/>
      </c>
      <c r="J552" s="29" t="str">
        <v/>
      </c>
      <c r="K552" s="29" t="str">
        <v/>
      </c>
      <c r="L552" s="29" t="str">
        <v/>
      </c>
      <c r="M552" s="29" t="str">
        <v/>
      </c>
      <c r="N552" s="29" t="str">
        <v/>
      </c>
      <c r="O552" s="2" t="str">
        <f ca="1"/>
        <v/>
      </c>
      <c r="P552" s="2" t="str">
        <f ca="1"/>
        <v/>
      </c>
      <c r="Q552" s="2" t="s">
        <v>5</v>
      </c>
      <c r="R552" s="2" t="s">
        <v>5</v>
      </c>
      <c r="U552" s="2" t="s">
        <v>59</v>
      </c>
      <c r="V552" s="2" t="e">
        <v>#N/A</v>
      </c>
      <c r="W552" s="31">
        <v>10000</v>
      </c>
      <c r="X552" s="29">
        <v>2500</v>
      </c>
      <c r="Y552" s="30">
        <v>1</v>
      </c>
      <c r="Z552" s="29">
        <v>7500</v>
      </c>
      <c r="AA552" s="30">
        <v>3</v>
      </c>
      <c r="AB552" s="29">
        <v>16000</v>
      </c>
      <c r="AC552" s="30">
        <v>8</v>
      </c>
      <c r="AD552" s="29">
        <v>16000</v>
      </c>
      <c r="AE552" s="30">
        <v>8</v>
      </c>
      <c r="AF552" s="29">
        <v>0</v>
      </c>
      <c r="AG552" s="30">
        <v>0</v>
      </c>
      <c r="AH552" s="2" t="e">
        <v>#N/A</v>
      </c>
      <c r="AI552" s="2" t="e">
        <v>#N/A</v>
      </c>
      <c r="AJ552" s="2" t="s">
        <v>5</v>
      </c>
      <c r="AK552" s="2" t="s">
        <v>5</v>
      </c>
    </row>
    <row r="553" spans="3:37" ht="12.5">
      <c r="C553" s="2" t="str">
        <f ca="1"/>
        <v/>
      </c>
      <c r="D553" s="2" t="str">
        <v/>
      </c>
      <c r="E553" s="29" t="str">
        <v/>
      </c>
      <c r="F553" s="30" t="str">
        <v/>
      </c>
      <c r="G553" s="29" t="str">
        <v/>
      </c>
      <c r="H553" s="30" t="str">
        <v/>
      </c>
      <c r="I553" s="29" t="str">
        <v/>
      </c>
      <c r="J553" s="29" t="str">
        <v/>
      </c>
      <c r="K553" s="29" t="str">
        <v/>
      </c>
      <c r="L553" s="29" t="str">
        <v/>
      </c>
      <c r="M553" s="29" t="str">
        <v/>
      </c>
      <c r="N553" s="29" t="str">
        <v/>
      </c>
      <c r="O553" s="2" t="str">
        <f ca="1"/>
        <v/>
      </c>
      <c r="P553" s="2" t="str">
        <f ca="1"/>
        <v/>
      </c>
      <c r="Q553" s="2" t="s">
        <v>5</v>
      </c>
      <c r="R553" s="2" t="s">
        <v>5</v>
      </c>
      <c r="U553" s="2" t="s">
        <v>60</v>
      </c>
      <c r="V553" s="2" t="e">
        <v>#N/A</v>
      </c>
      <c r="W553" s="31">
        <v>2500</v>
      </c>
      <c r="X553" s="29">
        <v>2500</v>
      </c>
      <c r="Y553" s="30">
        <v>1</v>
      </c>
      <c r="Z553" s="29">
        <v>0</v>
      </c>
      <c r="AA553" s="30">
        <v>0</v>
      </c>
      <c r="AB553" s="29">
        <v>0</v>
      </c>
      <c r="AC553" s="30">
        <v>0</v>
      </c>
      <c r="AD553" s="29">
        <v>0</v>
      </c>
      <c r="AE553" s="30">
        <v>0</v>
      </c>
      <c r="AF553" s="29">
        <v>0</v>
      </c>
      <c r="AG553" s="30">
        <v>0</v>
      </c>
      <c r="AH553" s="2" t="e">
        <v>#N/A</v>
      </c>
      <c r="AI553" s="2" t="e">
        <v>#N/A</v>
      </c>
      <c r="AJ553" s="2" t="s">
        <v>5</v>
      </c>
      <c r="AK553" s="2" t="s">
        <v>5</v>
      </c>
    </row>
    <row r="554" spans="3:37" ht="12.5">
      <c r="C554" s="2" t="str">
        <f ca="1"/>
        <v/>
      </c>
      <c r="D554" s="2" t="str">
        <v/>
      </c>
      <c r="E554" s="29" t="str">
        <v/>
      </c>
      <c r="F554" s="30" t="str">
        <v/>
      </c>
      <c r="G554" s="29" t="str">
        <v/>
      </c>
      <c r="H554" s="30" t="str">
        <v/>
      </c>
      <c r="I554" s="29" t="str">
        <v/>
      </c>
      <c r="J554" s="29" t="str">
        <v/>
      </c>
      <c r="K554" s="29" t="str">
        <v/>
      </c>
      <c r="L554" s="29" t="str">
        <v/>
      </c>
      <c r="M554" s="29" t="str">
        <v/>
      </c>
      <c r="N554" s="29" t="str">
        <v/>
      </c>
      <c r="O554" s="2" t="str">
        <f ca="1"/>
        <v/>
      </c>
      <c r="P554" s="2" t="str">
        <f ca="1"/>
        <v/>
      </c>
      <c r="Q554" s="2" t="s">
        <v>5</v>
      </c>
      <c r="R554" s="2" t="s">
        <v>5</v>
      </c>
      <c r="U554" s="2" t="s">
        <v>61</v>
      </c>
      <c r="V554" s="2" t="e">
        <v>#N/A</v>
      </c>
      <c r="W554" s="31">
        <v>7500</v>
      </c>
      <c r="X554" s="29">
        <v>2500</v>
      </c>
      <c r="Y554" s="30">
        <v>1</v>
      </c>
      <c r="Z554" s="29">
        <v>5000</v>
      </c>
      <c r="AA554" s="30">
        <v>2</v>
      </c>
      <c r="AB554" s="29">
        <v>4000</v>
      </c>
      <c r="AC554" s="30">
        <v>2</v>
      </c>
      <c r="AD554" s="29">
        <v>8000</v>
      </c>
      <c r="AE554" s="30">
        <v>4</v>
      </c>
      <c r="AF554" s="29">
        <v>0</v>
      </c>
      <c r="AG554" s="30">
        <v>0</v>
      </c>
      <c r="AH554" s="2" t="e">
        <v>#N/A</v>
      </c>
      <c r="AI554" s="2" t="e">
        <v>#N/A</v>
      </c>
      <c r="AJ554" s="2" t="s">
        <v>5</v>
      </c>
      <c r="AK554" s="2" t="s">
        <v>5</v>
      </c>
    </row>
    <row r="555" spans="3:37" ht="12.5">
      <c r="C555" s="2" t="str">
        <f ca="1"/>
        <v/>
      </c>
      <c r="D555" s="2" t="str">
        <v/>
      </c>
      <c r="E555" s="29" t="str">
        <v/>
      </c>
      <c r="F555" s="30" t="str">
        <v/>
      </c>
      <c r="G555" s="29" t="str">
        <v/>
      </c>
      <c r="H555" s="30" t="str">
        <v/>
      </c>
      <c r="I555" s="29" t="str">
        <v/>
      </c>
      <c r="J555" s="29" t="str">
        <v/>
      </c>
      <c r="K555" s="29" t="str">
        <v/>
      </c>
      <c r="L555" s="29" t="str">
        <v/>
      </c>
      <c r="M555" s="29" t="str">
        <v/>
      </c>
      <c r="N555" s="29" t="str">
        <v/>
      </c>
      <c r="O555" s="2" t="str">
        <f ca="1"/>
        <v/>
      </c>
      <c r="P555" s="2" t="str">
        <f ca="1"/>
        <v/>
      </c>
      <c r="Q555" s="2" t="s">
        <v>5</v>
      </c>
      <c r="R555" s="2" t="s">
        <v>5</v>
      </c>
      <c r="U555" s="2" t="s">
        <v>62</v>
      </c>
      <c r="V555" s="2" t="e">
        <v>#N/A</v>
      </c>
      <c r="W555" s="31">
        <v>12500</v>
      </c>
      <c r="X555" s="29">
        <v>2500</v>
      </c>
      <c r="Y555" s="30">
        <v>1</v>
      </c>
      <c r="Z555" s="29">
        <v>10000</v>
      </c>
      <c r="AA555" s="30">
        <v>4</v>
      </c>
      <c r="AB555" s="29">
        <v>8000</v>
      </c>
      <c r="AC555" s="30">
        <v>4</v>
      </c>
      <c r="AD555" s="29">
        <v>22000</v>
      </c>
      <c r="AE555" s="30">
        <v>11</v>
      </c>
      <c r="AF555" s="29">
        <v>0</v>
      </c>
      <c r="AG555" s="30">
        <v>0</v>
      </c>
      <c r="AH555" s="2" t="e">
        <v>#N/A</v>
      </c>
      <c r="AI555" s="2" t="e">
        <v>#N/A</v>
      </c>
      <c r="AJ555" s="2" t="s">
        <v>5</v>
      </c>
      <c r="AK555" s="2" t="s">
        <v>5</v>
      </c>
    </row>
    <row r="556" spans="3:37" ht="12.5">
      <c r="C556" s="2" t="str">
        <f ca="1"/>
        <v/>
      </c>
      <c r="D556" s="2" t="str">
        <v/>
      </c>
      <c r="E556" s="29" t="str">
        <v/>
      </c>
      <c r="F556" s="30" t="str">
        <v/>
      </c>
      <c r="G556" s="29" t="str">
        <v/>
      </c>
      <c r="H556" s="30" t="str">
        <v/>
      </c>
      <c r="I556" s="29" t="str">
        <v/>
      </c>
      <c r="J556" s="29" t="str">
        <v/>
      </c>
      <c r="K556" s="29" t="str">
        <v/>
      </c>
      <c r="L556" s="29" t="str">
        <v/>
      </c>
      <c r="M556" s="29" t="str">
        <v/>
      </c>
      <c r="N556" s="29" t="str">
        <v/>
      </c>
      <c r="O556" s="2" t="str">
        <f ca="1"/>
        <v/>
      </c>
      <c r="P556" s="2" t="str">
        <f ca="1"/>
        <v/>
      </c>
      <c r="Q556" s="2" t="s">
        <v>5</v>
      </c>
      <c r="R556" s="2" t="s">
        <v>5</v>
      </c>
      <c r="U556" s="2" t="s">
        <v>64</v>
      </c>
      <c r="V556" s="2" t="e">
        <v>#N/A</v>
      </c>
      <c r="W556" s="31">
        <v>2500</v>
      </c>
      <c r="X556" s="29">
        <v>0</v>
      </c>
      <c r="Y556" s="30">
        <v>0</v>
      </c>
      <c r="Z556" s="29">
        <v>2500</v>
      </c>
      <c r="AA556" s="30">
        <v>1</v>
      </c>
      <c r="AB556" s="29">
        <v>0</v>
      </c>
      <c r="AC556" s="30">
        <v>0</v>
      </c>
      <c r="AD556" s="29">
        <v>0</v>
      </c>
      <c r="AE556" s="30">
        <v>0</v>
      </c>
      <c r="AF556" s="29">
        <v>0</v>
      </c>
      <c r="AG556" s="30">
        <v>0</v>
      </c>
      <c r="AH556" s="2" t="e">
        <v>#N/A</v>
      </c>
      <c r="AI556" s="2" t="e">
        <v>#N/A</v>
      </c>
      <c r="AJ556" s="2" t="s">
        <v>5</v>
      </c>
      <c r="AK556" s="2" t="s">
        <v>5</v>
      </c>
    </row>
    <row r="557" spans="3:37" ht="12.5">
      <c r="C557" s="2" t="str">
        <f ca="1"/>
        <v/>
      </c>
      <c r="D557" s="2" t="str">
        <v/>
      </c>
      <c r="E557" s="29" t="str">
        <v/>
      </c>
      <c r="F557" s="30" t="str">
        <v/>
      </c>
      <c r="G557" s="29" t="str">
        <v/>
      </c>
      <c r="H557" s="30" t="str">
        <v/>
      </c>
      <c r="I557" s="29" t="str">
        <v/>
      </c>
      <c r="J557" s="29" t="str">
        <v/>
      </c>
      <c r="K557" s="29" t="str">
        <v/>
      </c>
      <c r="L557" s="29" t="str">
        <v/>
      </c>
      <c r="M557" s="29" t="str">
        <v/>
      </c>
      <c r="N557" s="29" t="str">
        <v/>
      </c>
      <c r="O557" s="2" t="str">
        <f ca="1"/>
        <v/>
      </c>
      <c r="P557" s="2" t="str">
        <f ca="1"/>
        <v/>
      </c>
      <c r="Q557" s="2" t="s">
        <v>5</v>
      </c>
      <c r="R557" s="2" t="s">
        <v>5</v>
      </c>
      <c r="U557" s="2" t="s">
        <v>65</v>
      </c>
      <c r="V557" s="2" t="e">
        <v>#N/A</v>
      </c>
      <c r="W557" s="31">
        <v>5000</v>
      </c>
      <c r="X557" s="29">
        <v>0</v>
      </c>
      <c r="Y557" s="30">
        <v>0</v>
      </c>
      <c r="Z557" s="29">
        <v>5000</v>
      </c>
      <c r="AA557" s="30">
        <v>2</v>
      </c>
      <c r="AB557" s="29">
        <v>12000</v>
      </c>
      <c r="AC557" s="30">
        <v>6</v>
      </c>
      <c r="AD557" s="29">
        <v>8000</v>
      </c>
      <c r="AE557" s="30">
        <v>4</v>
      </c>
      <c r="AF557" s="29">
        <v>0</v>
      </c>
      <c r="AG557" s="30">
        <v>0</v>
      </c>
      <c r="AH557" s="2" t="e">
        <v>#N/A</v>
      </c>
      <c r="AI557" s="2" t="e">
        <v>#N/A</v>
      </c>
      <c r="AJ557" s="2" t="s">
        <v>5</v>
      </c>
      <c r="AK557" s="2" t="s">
        <v>5</v>
      </c>
    </row>
    <row r="558" spans="3:37" ht="12.5">
      <c r="C558" s="2" t="str">
        <f ca="1"/>
        <v/>
      </c>
      <c r="D558" s="2" t="str">
        <v/>
      </c>
      <c r="E558" s="29" t="str">
        <v/>
      </c>
      <c r="F558" s="30" t="str">
        <v/>
      </c>
      <c r="G558" s="29" t="str">
        <v/>
      </c>
      <c r="H558" s="30" t="str">
        <v/>
      </c>
      <c r="I558" s="29" t="str">
        <v/>
      </c>
      <c r="J558" s="29" t="str">
        <v/>
      </c>
      <c r="K558" s="29" t="str">
        <v/>
      </c>
      <c r="L558" s="29" t="str">
        <v/>
      </c>
      <c r="M558" s="29" t="str">
        <v/>
      </c>
      <c r="N558" s="29" t="str">
        <v/>
      </c>
      <c r="O558" s="2" t="str">
        <f ca="1"/>
        <v/>
      </c>
      <c r="P558" s="2" t="str">
        <f ca="1"/>
        <v/>
      </c>
      <c r="Q558" s="2" t="s">
        <v>5</v>
      </c>
      <c r="R558" s="2" t="s">
        <v>5</v>
      </c>
      <c r="U558" s="2" t="s">
        <v>66</v>
      </c>
      <c r="V558" s="2" t="e">
        <v>#N/A</v>
      </c>
      <c r="W558" s="31">
        <v>2500</v>
      </c>
      <c r="X558" s="29">
        <v>0</v>
      </c>
      <c r="Y558" s="30">
        <v>0</v>
      </c>
      <c r="Z558" s="29">
        <v>2500</v>
      </c>
      <c r="AA558" s="30">
        <v>1</v>
      </c>
      <c r="AB558" s="29">
        <v>0</v>
      </c>
      <c r="AC558" s="30">
        <v>0</v>
      </c>
      <c r="AD558" s="29">
        <v>0</v>
      </c>
      <c r="AE558" s="30">
        <v>0</v>
      </c>
      <c r="AF558" s="29">
        <v>0</v>
      </c>
      <c r="AG558" s="30">
        <v>0</v>
      </c>
      <c r="AH558" s="2" t="e">
        <v>#N/A</v>
      </c>
      <c r="AI558" s="2" t="e">
        <v>#N/A</v>
      </c>
      <c r="AJ558" s="2" t="s">
        <v>5</v>
      </c>
      <c r="AK558" s="2" t="s">
        <v>5</v>
      </c>
    </row>
    <row r="559" spans="3:37" ht="12.5">
      <c r="C559" s="2" t="str">
        <f ca="1"/>
        <v/>
      </c>
      <c r="D559" s="2" t="str">
        <v/>
      </c>
      <c r="E559" s="29" t="str">
        <v/>
      </c>
      <c r="F559" s="30" t="str">
        <v/>
      </c>
      <c r="G559" s="29" t="str">
        <v/>
      </c>
      <c r="H559" s="30" t="str">
        <v/>
      </c>
      <c r="I559" s="29" t="str">
        <v/>
      </c>
      <c r="J559" s="29" t="str">
        <v/>
      </c>
      <c r="K559" s="29" t="str">
        <v/>
      </c>
      <c r="L559" s="29" t="str">
        <v/>
      </c>
      <c r="M559" s="29" t="str">
        <v/>
      </c>
      <c r="N559" s="29" t="str">
        <v/>
      </c>
      <c r="O559" s="2" t="str">
        <f ca="1"/>
        <v/>
      </c>
      <c r="P559" s="2" t="str">
        <f ca="1"/>
        <v/>
      </c>
      <c r="Q559" s="2" t="s">
        <v>5</v>
      </c>
      <c r="R559" s="2" t="s">
        <v>5</v>
      </c>
      <c r="U559" s="2" t="s">
        <v>67</v>
      </c>
      <c r="V559" s="2" t="e">
        <v>#N/A</v>
      </c>
      <c r="W559" s="31">
        <v>5000</v>
      </c>
      <c r="X559" s="29">
        <v>0</v>
      </c>
      <c r="Y559" s="30">
        <v>0</v>
      </c>
      <c r="Z559" s="29">
        <v>5000</v>
      </c>
      <c r="AA559" s="30">
        <v>2</v>
      </c>
      <c r="AB559" s="29">
        <v>12000</v>
      </c>
      <c r="AC559" s="30">
        <v>6</v>
      </c>
      <c r="AD559" s="29">
        <v>14000</v>
      </c>
      <c r="AE559" s="30">
        <v>7</v>
      </c>
      <c r="AF559" s="29">
        <v>0</v>
      </c>
      <c r="AG559" s="30">
        <v>0</v>
      </c>
      <c r="AH559" s="2" t="e">
        <v>#N/A</v>
      </c>
      <c r="AI559" s="2" t="e">
        <v>#N/A</v>
      </c>
      <c r="AJ559" s="2" t="s">
        <v>5</v>
      </c>
      <c r="AK559" s="2" t="s">
        <v>5</v>
      </c>
    </row>
    <row r="560" spans="3:37" ht="12.5">
      <c r="C560" s="2" t="str">
        <f ca="1"/>
        <v/>
      </c>
      <c r="D560" s="2" t="str">
        <v/>
      </c>
      <c r="E560" s="29" t="str">
        <v/>
      </c>
      <c r="F560" s="30" t="str">
        <v/>
      </c>
      <c r="G560" s="29" t="str">
        <v/>
      </c>
      <c r="H560" s="30" t="str">
        <v/>
      </c>
      <c r="I560" s="29" t="str">
        <v/>
      </c>
      <c r="J560" s="29" t="str">
        <v/>
      </c>
      <c r="K560" s="29" t="str">
        <v/>
      </c>
      <c r="L560" s="29" t="str">
        <v/>
      </c>
      <c r="M560" s="29" t="str">
        <v/>
      </c>
      <c r="N560" s="29" t="str">
        <v/>
      </c>
      <c r="O560" s="2" t="str">
        <f ca="1"/>
        <v/>
      </c>
      <c r="P560" s="2" t="str">
        <f ca="1"/>
        <v/>
      </c>
      <c r="Q560" s="2" t="s">
        <v>5</v>
      </c>
      <c r="R560" s="2" t="s">
        <v>5</v>
      </c>
      <c r="U560" s="2" t="s">
        <v>68</v>
      </c>
      <c r="V560" s="2" t="e">
        <v>#N/A</v>
      </c>
      <c r="W560" s="31">
        <v>7500</v>
      </c>
      <c r="X560" s="29">
        <v>0</v>
      </c>
      <c r="Y560" s="30">
        <v>0</v>
      </c>
      <c r="Z560" s="29">
        <v>7500</v>
      </c>
      <c r="AA560" s="30">
        <v>3</v>
      </c>
      <c r="AB560" s="29">
        <v>16000</v>
      </c>
      <c r="AC560" s="30">
        <v>8</v>
      </c>
      <c r="AD560" s="29">
        <v>2000</v>
      </c>
      <c r="AE560" s="30">
        <v>1</v>
      </c>
      <c r="AF560" s="29">
        <v>0</v>
      </c>
      <c r="AG560" s="30">
        <v>0</v>
      </c>
      <c r="AH560" s="2" t="e">
        <v>#N/A</v>
      </c>
      <c r="AI560" s="2" t="e">
        <v>#N/A</v>
      </c>
      <c r="AJ560" s="2" t="s">
        <v>5</v>
      </c>
      <c r="AK560" s="2" t="s">
        <v>5</v>
      </c>
    </row>
    <row r="561" spans="3:37" ht="12.5">
      <c r="C561" s="2" t="str">
        <f ca="1"/>
        <v/>
      </c>
      <c r="D561" s="2" t="str">
        <v/>
      </c>
      <c r="E561" s="29" t="str">
        <v/>
      </c>
      <c r="F561" s="30" t="str">
        <v/>
      </c>
      <c r="G561" s="29" t="str">
        <v/>
      </c>
      <c r="H561" s="30" t="str">
        <v/>
      </c>
      <c r="I561" s="29" t="str">
        <v/>
      </c>
      <c r="J561" s="29" t="str">
        <v/>
      </c>
      <c r="K561" s="29" t="str">
        <v/>
      </c>
      <c r="L561" s="29" t="str">
        <v/>
      </c>
      <c r="M561" s="29" t="str">
        <v/>
      </c>
      <c r="N561" s="29" t="str">
        <v/>
      </c>
      <c r="O561" s="2" t="str">
        <f ca="1"/>
        <v/>
      </c>
      <c r="P561" s="2" t="str">
        <f ca="1"/>
        <v/>
      </c>
      <c r="Q561" s="2" t="s">
        <v>5</v>
      </c>
      <c r="R561" s="2" t="s">
        <v>5</v>
      </c>
      <c r="U561" s="2" t="s">
        <v>69</v>
      </c>
      <c r="V561" s="2" t="e">
        <v>#N/A</v>
      </c>
      <c r="W561" s="31">
        <v>15000</v>
      </c>
      <c r="X561" s="29">
        <v>0</v>
      </c>
      <c r="Y561" s="30">
        <v>0</v>
      </c>
      <c r="Z561" s="29">
        <v>15000</v>
      </c>
      <c r="AA561" s="30">
        <v>6</v>
      </c>
      <c r="AB561" s="29">
        <v>12000</v>
      </c>
      <c r="AC561" s="30">
        <v>6</v>
      </c>
      <c r="AD561" s="29">
        <v>6000</v>
      </c>
      <c r="AE561" s="30">
        <v>3</v>
      </c>
      <c r="AF561" s="29">
        <v>0</v>
      </c>
      <c r="AG561" s="30">
        <v>0</v>
      </c>
      <c r="AH561" s="2" t="e">
        <v>#N/A</v>
      </c>
      <c r="AI561" s="2" t="e">
        <v>#N/A</v>
      </c>
      <c r="AJ561" s="2" t="s">
        <v>5</v>
      </c>
      <c r="AK561" s="2" t="s">
        <v>5</v>
      </c>
    </row>
    <row r="562" spans="3:37" ht="12.5">
      <c r="C562" s="2" t="str">
        <f ca="1"/>
        <v/>
      </c>
      <c r="D562" s="2" t="str">
        <v/>
      </c>
      <c r="E562" s="29" t="str">
        <v/>
      </c>
      <c r="F562" s="30" t="str">
        <v/>
      </c>
      <c r="G562" s="29" t="str">
        <v/>
      </c>
      <c r="H562" s="30" t="str">
        <v/>
      </c>
      <c r="I562" s="29" t="str">
        <v/>
      </c>
      <c r="J562" s="29" t="str">
        <v/>
      </c>
      <c r="K562" s="29" t="str">
        <v/>
      </c>
      <c r="L562" s="29" t="str">
        <v/>
      </c>
      <c r="M562" s="29" t="str">
        <v/>
      </c>
      <c r="N562" s="29" t="str">
        <v/>
      </c>
      <c r="O562" s="2" t="str">
        <f ca="1"/>
        <v/>
      </c>
      <c r="P562" s="2" t="str">
        <f ca="1"/>
        <v/>
      </c>
      <c r="Q562" s="2" t="s">
        <v>5</v>
      </c>
      <c r="R562" s="2" t="s">
        <v>5</v>
      </c>
      <c r="U562" s="2" t="s">
        <v>70</v>
      </c>
      <c r="V562" s="2" t="e">
        <v>#N/A</v>
      </c>
      <c r="W562" s="31">
        <v>17500</v>
      </c>
      <c r="X562" s="29">
        <v>0</v>
      </c>
      <c r="Y562" s="30">
        <v>0</v>
      </c>
      <c r="Z562" s="29">
        <v>17500</v>
      </c>
      <c r="AA562" s="30">
        <v>7</v>
      </c>
      <c r="AB562" s="29">
        <v>10000</v>
      </c>
      <c r="AC562" s="30">
        <v>5</v>
      </c>
      <c r="AD562" s="29">
        <v>4000</v>
      </c>
      <c r="AE562" s="30">
        <v>2</v>
      </c>
      <c r="AF562" s="29">
        <v>0</v>
      </c>
      <c r="AG562" s="30">
        <v>0</v>
      </c>
      <c r="AH562" s="2" t="e">
        <v>#N/A</v>
      </c>
      <c r="AI562" s="2" t="e">
        <v>#N/A</v>
      </c>
      <c r="AJ562" s="2" t="s">
        <v>5</v>
      </c>
      <c r="AK562" s="2" t="s">
        <v>5</v>
      </c>
    </row>
    <row r="563" spans="3:37" ht="12.5">
      <c r="C563" s="2" t="str">
        <f ca="1"/>
        <v/>
      </c>
      <c r="D563" s="2" t="str">
        <v/>
      </c>
      <c r="E563" s="29" t="str">
        <v/>
      </c>
      <c r="F563" s="30" t="str">
        <v/>
      </c>
      <c r="G563" s="29" t="str">
        <v/>
      </c>
      <c r="H563" s="30" t="str">
        <v/>
      </c>
      <c r="I563" s="29" t="str">
        <v/>
      </c>
      <c r="J563" s="29" t="str">
        <v/>
      </c>
      <c r="K563" s="29" t="str">
        <v/>
      </c>
      <c r="L563" s="29" t="str">
        <v/>
      </c>
      <c r="M563" s="29" t="str">
        <v/>
      </c>
      <c r="N563" s="29" t="str">
        <v/>
      </c>
      <c r="O563" s="2" t="str">
        <f ca="1"/>
        <v/>
      </c>
      <c r="P563" s="2" t="str">
        <f ca="1"/>
        <v/>
      </c>
      <c r="Q563" s="2" t="s">
        <v>5</v>
      </c>
      <c r="R563" s="2" t="s">
        <v>5</v>
      </c>
      <c r="U563" s="2" t="s">
        <v>72</v>
      </c>
      <c r="V563" s="2" t="e">
        <v>#N/A</v>
      </c>
      <c r="W563" s="31">
        <v>2500</v>
      </c>
      <c r="X563" s="29">
        <v>0</v>
      </c>
      <c r="Y563" s="30">
        <v>0</v>
      </c>
      <c r="Z563" s="29">
        <v>2500</v>
      </c>
      <c r="AA563" s="30">
        <v>1</v>
      </c>
      <c r="AB563" s="29">
        <v>0</v>
      </c>
      <c r="AC563" s="30">
        <v>0</v>
      </c>
      <c r="AD563" s="29">
        <v>4000</v>
      </c>
      <c r="AE563" s="30">
        <v>2</v>
      </c>
      <c r="AF563" s="29">
        <v>0</v>
      </c>
      <c r="AG563" s="30">
        <v>0</v>
      </c>
      <c r="AH563" s="2" t="e">
        <v>#N/A</v>
      </c>
      <c r="AI563" s="2" t="e">
        <v>#N/A</v>
      </c>
      <c r="AJ563" s="2" t="s">
        <v>5</v>
      </c>
      <c r="AK563" s="2" t="s">
        <v>5</v>
      </c>
    </row>
    <row r="564" spans="3:37" ht="12.5">
      <c r="C564" s="2" t="str">
        <f ca="1"/>
        <v/>
      </c>
      <c r="D564" s="2" t="str">
        <v/>
      </c>
      <c r="E564" s="29" t="str">
        <v/>
      </c>
      <c r="F564" s="30" t="str">
        <v/>
      </c>
      <c r="G564" s="29" t="str">
        <v/>
      </c>
      <c r="H564" s="30" t="str">
        <v/>
      </c>
      <c r="I564" s="29" t="str">
        <v/>
      </c>
      <c r="J564" s="29" t="str">
        <v/>
      </c>
      <c r="K564" s="29" t="str">
        <v/>
      </c>
      <c r="L564" s="29" t="str">
        <v/>
      </c>
      <c r="M564" s="29" t="str">
        <v/>
      </c>
      <c r="N564" s="29" t="str">
        <v/>
      </c>
      <c r="O564" s="2" t="str">
        <f ca="1"/>
        <v/>
      </c>
      <c r="P564" s="2" t="str">
        <f ca="1"/>
        <v/>
      </c>
      <c r="Q564" s="2" t="s">
        <v>5</v>
      </c>
      <c r="R564" s="2" t="s">
        <v>5</v>
      </c>
      <c r="U564" s="2" t="s">
        <v>73</v>
      </c>
      <c r="V564" s="2" t="e">
        <v>#N/A</v>
      </c>
      <c r="W564" s="31">
        <v>2500</v>
      </c>
      <c r="X564" s="29">
        <v>0</v>
      </c>
      <c r="Y564" s="30">
        <v>0</v>
      </c>
      <c r="Z564" s="29">
        <v>2500</v>
      </c>
      <c r="AA564" s="30">
        <v>1</v>
      </c>
      <c r="AB564" s="29">
        <v>0</v>
      </c>
      <c r="AC564" s="30">
        <v>0</v>
      </c>
      <c r="AD564" s="29">
        <v>12000</v>
      </c>
      <c r="AE564" s="30">
        <v>6</v>
      </c>
      <c r="AF564" s="29">
        <v>0</v>
      </c>
      <c r="AG564" s="30">
        <v>0</v>
      </c>
      <c r="AH564" s="2" t="e">
        <v>#N/A</v>
      </c>
      <c r="AI564" s="2" t="e">
        <v>#N/A</v>
      </c>
      <c r="AJ564" s="2" t="s">
        <v>5</v>
      </c>
      <c r="AK564" s="2" t="s">
        <v>5</v>
      </c>
    </row>
    <row r="565" spans="3:37" ht="12.5">
      <c r="C565" s="2" t="str">
        <f ca="1"/>
        <v/>
      </c>
      <c r="D565" s="2" t="str">
        <v/>
      </c>
      <c r="E565" s="29" t="str">
        <v/>
      </c>
      <c r="F565" s="30" t="str">
        <v/>
      </c>
      <c r="G565" s="29" t="str">
        <v/>
      </c>
      <c r="H565" s="30" t="str">
        <v/>
      </c>
      <c r="I565" s="29" t="str">
        <v/>
      </c>
      <c r="J565" s="29" t="str">
        <v/>
      </c>
      <c r="K565" s="29" t="str">
        <v/>
      </c>
      <c r="L565" s="29" t="str">
        <v/>
      </c>
      <c r="M565" s="29" t="str">
        <v/>
      </c>
      <c r="N565" s="29" t="str">
        <v/>
      </c>
      <c r="O565" s="2" t="str">
        <f ca="1"/>
        <v/>
      </c>
      <c r="P565" s="2" t="str">
        <f ca="1"/>
        <v/>
      </c>
      <c r="Q565" s="2" t="s">
        <v>5</v>
      </c>
      <c r="R565" s="2" t="s">
        <v>5</v>
      </c>
      <c r="U565" s="2" t="s">
        <v>74</v>
      </c>
      <c r="V565" s="2" t="e">
        <v>#N/A</v>
      </c>
      <c r="W565" s="31">
        <v>2500</v>
      </c>
      <c r="X565" s="29">
        <v>0</v>
      </c>
      <c r="Y565" s="30">
        <v>0</v>
      </c>
      <c r="Z565" s="29">
        <v>2500</v>
      </c>
      <c r="AA565" s="30">
        <v>1</v>
      </c>
      <c r="AB565" s="29">
        <v>0</v>
      </c>
      <c r="AC565" s="30">
        <v>0</v>
      </c>
      <c r="AD565" s="29">
        <v>2000</v>
      </c>
      <c r="AE565" s="30">
        <v>1</v>
      </c>
      <c r="AF565" s="29">
        <v>0</v>
      </c>
      <c r="AG565" s="30">
        <v>0</v>
      </c>
      <c r="AH565" s="2" t="e">
        <v>#N/A</v>
      </c>
      <c r="AI565" s="2" t="e">
        <v>#N/A</v>
      </c>
      <c r="AJ565" s="2" t="s">
        <v>5</v>
      </c>
      <c r="AK565" s="2" t="s">
        <v>5</v>
      </c>
    </row>
    <row r="566" spans="3:37" ht="12.5">
      <c r="C566" s="2" t="str">
        <f ca="1"/>
        <v/>
      </c>
      <c r="D566" s="2" t="str">
        <v/>
      </c>
      <c r="E566" s="29" t="str">
        <v/>
      </c>
      <c r="F566" s="30" t="str">
        <v/>
      </c>
      <c r="G566" s="29" t="str">
        <v/>
      </c>
      <c r="H566" s="30" t="str">
        <v/>
      </c>
      <c r="I566" s="29" t="str">
        <v/>
      </c>
      <c r="J566" s="29" t="str">
        <v/>
      </c>
      <c r="K566" s="29" t="str">
        <v/>
      </c>
      <c r="L566" s="29" t="str">
        <v/>
      </c>
      <c r="M566" s="29" t="str">
        <v/>
      </c>
      <c r="N566" s="29" t="str">
        <v/>
      </c>
      <c r="O566" s="2" t="str">
        <f ca="1"/>
        <v/>
      </c>
      <c r="P566" s="2" t="str">
        <f ca="1"/>
        <v/>
      </c>
      <c r="Q566" s="2" t="s">
        <v>5</v>
      </c>
      <c r="R566" s="2" t="s">
        <v>5</v>
      </c>
      <c r="U566" s="2" t="s">
        <v>75</v>
      </c>
      <c r="V566" s="2" t="e">
        <v>#N/A</v>
      </c>
      <c r="W566" s="31">
        <v>2500</v>
      </c>
      <c r="X566" s="29">
        <v>0</v>
      </c>
      <c r="Y566" s="30">
        <v>0</v>
      </c>
      <c r="Z566" s="29">
        <v>2500</v>
      </c>
      <c r="AA566" s="30">
        <v>1</v>
      </c>
      <c r="AB566" s="29">
        <v>6000</v>
      </c>
      <c r="AC566" s="30">
        <v>3</v>
      </c>
      <c r="AD566" s="29">
        <v>2000</v>
      </c>
      <c r="AE566" s="30">
        <v>1</v>
      </c>
      <c r="AF566" s="29">
        <v>0</v>
      </c>
      <c r="AG566" s="30">
        <v>0</v>
      </c>
      <c r="AH566" s="2" t="e">
        <v>#N/A</v>
      </c>
      <c r="AI566" s="2" t="e">
        <v>#N/A</v>
      </c>
      <c r="AJ566" s="2" t="s">
        <v>5</v>
      </c>
      <c r="AK566" s="2" t="s">
        <v>5</v>
      </c>
    </row>
    <row r="567" spans="3:37" ht="12.5">
      <c r="C567" s="2" t="str">
        <f ca="1"/>
        <v/>
      </c>
      <c r="D567" s="2" t="str">
        <v/>
      </c>
      <c r="E567" s="29" t="str">
        <v/>
      </c>
      <c r="F567" s="30" t="str">
        <v/>
      </c>
      <c r="G567" s="29" t="str">
        <v/>
      </c>
      <c r="H567" s="30" t="str">
        <v/>
      </c>
      <c r="I567" s="29" t="str">
        <v/>
      </c>
      <c r="J567" s="29" t="str">
        <v/>
      </c>
      <c r="K567" s="29" t="str">
        <v/>
      </c>
      <c r="L567" s="29" t="str">
        <v/>
      </c>
      <c r="M567" s="29" t="str">
        <v/>
      </c>
      <c r="N567" s="29" t="str">
        <v/>
      </c>
      <c r="O567" s="2" t="str">
        <f ca="1"/>
        <v/>
      </c>
      <c r="P567" s="2" t="str">
        <f ca="1"/>
        <v/>
      </c>
      <c r="Q567" s="2" t="s">
        <v>5</v>
      </c>
      <c r="R567" s="2" t="s">
        <v>5</v>
      </c>
      <c r="U567" s="2" t="s">
        <v>77</v>
      </c>
      <c r="V567" s="2" t="e">
        <v>#N/A</v>
      </c>
      <c r="W567" s="31">
        <v>5000</v>
      </c>
      <c r="X567" s="29">
        <v>0</v>
      </c>
      <c r="Y567" s="30">
        <v>0</v>
      </c>
      <c r="Z567" s="29">
        <v>5000</v>
      </c>
      <c r="AA567" s="30">
        <v>2</v>
      </c>
      <c r="AB567" s="29">
        <v>4000</v>
      </c>
      <c r="AC567" s="30">
        <v>2</v>
      </c>
      <c r="AD567" s="29">
        <v>0</v>
      </c>
      <c r="AE567" s="30">
        <v>0</v>
      </c>
      <c r="AF567" s="29">
        <v>0</v>
      </c>
      <c r="AG567" s="30">
        <v>0</v>
      </c>
      <c r="AH567" s="2" t="e">
        <v>#N/A</v>
      </c>
      <c r="AI567" s="2" t="e">
        <v>#N/A</v>
      </c>
      <c r="AJ567" s="2" t="s">
        <v>5</v>
      </c>
      <c r="AK567" s="2" t="s">
        <v>5</v>
      </c>
    </row>
    <row r="568" spans="3:37" ht="12.5">
      <c r="C568" s="2" t="str">
        <f ca="1"/>
        <v/>
      </c>
      <c r="D568" s="2" t="str">
        <v/>
      </c>
      <c r="E568" s="29" t="str">
        <v/>
      </c>
      <c r="F568" s="30" t="str">
        <v/>
      </c>
      <c r="G568" s="29" t="str">
        <v/>
      </c>
      <c r="H568" s="30" t="str">
        <v/>
      </c>
      <c r="I568" s="29" t="str">
        <v/>
      </c>
      <c r="J568" s="29" t="str">
        <v/>
      </c>
      <c r="K568" s="29" t="str">
        <v/>
      </c>
      <c r="L568" s="29" t="str">
        <v/>
      </c>
      <c r="M568" s="29" t="str">
        <v/>
      </c>
      <c r="N568" s="29" t="str">
        <v/>
      </c>
      <c r="O568" s="2" t="str">
        <f ca="1"/>
        <v/>
      </c>
      <c r="P568" s="2" t="str">
        <f ca="1"/>
        <v/>
      </c>
      <c r="Q568" s="2" t="s">
        <v>5</v>
      </c>
      <c r="R568" s="2" t="s">
        <v>5</v>
      </c>
      <c r="U568" s="2" t="s">
        <v>78</v>
      </c>
      <c r="V568" s="2" t="e">
        <v>#N/A</v>
      </c>
      <c r="W568" s="31">
        <v>5000</v>
      </c>
      <c r="X568" s="29">
        <v>0</v>
      </c>
      <c r="Y568" s="30">
        <v>0</v>
      </c>
      <c r="Z568" s="29">
        <v>5000</v>
      </c>
      <c r="AA568" s="30">
        <v>2</v>
      </c>
      <c r="AB568" s="29">
        <v>4000</v>
      </c>
      <c r="AC568" s="30">
        <v>2</v>
      </c>
      <c r="AD568" s="29">
        <v>0</v>
      </c>
      <c r="AE568" s="30">
        <v>0</v>
      </c>
      <c r="AF568" s="29">
        <v>0</v>
      </c>
      <c r="AG568" s="30">
        <v>0</v>
      </c>
      <c r="AH568" s="2" t="e">
        <v>#N/A</v>
      </c>
      <c r="AI568" s="2" t="e">
        <v>#N/A</v>
      </c>
      <c r="AJ568" s="2" t="s">
        <v>5</v>
      </c>
      <c r="AK568" s="2" t="s">
        <v>5</v>
      </c>
    </row>
    <row r="569" spans="3:37" ht="12.5">
      <c r="C569" s="2" t="str">
        <f ca="1"/>
        <v/>
      </c>
      <c r="D569" s="2" t="str">
        <v/>
      </c>
      <c r="E569" s="29" t="str">
        <v/>
      </c>
      <c r="F569" s="30" t="str">
        <v/>
      </c>
      <c r="G569" s="29" t="str">
        <v/>
      </c>
      <c r="H569" s="30" t="str">
        <v/>
      </c>
      <c r="I569" s="29" t="str">
        <v/>
      </c>
      <c r="J569" s="29" t="str">
        <v/>
      </c>
      <c r="K569" s="29" t="str">
        <v/>
      </c>
      <c r="L569" s="29" t="str">
        <v/>
      </c>
      <c r="M569" s="29" t="str">
        <v/>
      </c>
      <c r="N569" s="29" t="str">
        <v/>
      </c>
      <c r="O569" s="2" t="str">
        <f ca="1"/>
        <v/>
      </c>
      <c r="P569" s="2" t="str">
        <f ca="1"/>
        <v/>
      </c>
      <c r="Q569" s="2" t="s">
        <v>5</v>
      </c>
      <c r="R569" s="2" t="s">
        <v>5</v>
      </c>
      <c r="U569" s="2" t="s">
        <v>79</v>
      </c>
      <c r="V569" s="2" t="e">
        <v>#N/A</v>
      </c>
      <c r="W569" s="31">
        <v>2500</v>
      </c>
      <c r="X569" s="29">
        <v>0</v>
      </c>
      <c r="Y569" s="30">
        <v>0</v>
      </c>
      <c r="Z569" s="29">
        <v>2500</v>
      </c>
      <c r="AA569" s="30">
        <v>1</v>
      </c>
      <c r="AB569" s="29">
        <v>2000</v>
      </c>
      <c r="AC569" s="30">
        <v>1</v>
      </c>
      <c r="AD569" s="29">
        <v>0</v>
      </c>
      <c r="AE569" s="30">
        <v>0</v>
      </c>
      <c r="AF569" s="29">
        <v>0</v>
      </c>
      <c r="AG569" s="30">
        <v>0</v>
      </c>
      <c r="AH569" s="2" t="e">
        <v>#N/A</v>
      </c>
      <c r="AI569" s="2" t="e">
        <v>#N/A</v>
      </c>
      <c r="AJ569" s="2" t="s">
        <v>5</v>
      </c>
      <c r="AK569" s="2" t="s">
        <v>5</v>
      </c>
    </row>
    <row r="570" spans="3:37" ht="12.5">
      <c r="C570" s="2" t="str">
        <f ca="1"/>
        <v/>
      </c>
      <c r="D570" s="2" t="str">
        <v/>
      </c>
      <c r="E570" s="29" t="str">
        <v/>
      </c>
      <c r="F570" s="30" t="str">
        <v/>
      </c>
      <c r="G570" s="29" t="str">
        <v/>
      </c>
      <c r="H570" s="30" t="str">
        <v/>
      </c>
      <c r="I570" s="29" t="str">
        <v/>
      </c>
      <c r="J570" s="29" t="str">
        <v/>
      </c>
      <c r="K570" s="29" t="str">
        <v/>
      </c>
      <c r="L570" s="29" t="str">
        <v/>
      </c>
      <c r="M570" s="29" t="str">
        <v/>
      </c>
      <c r="N570" s="29" t="str">
        <v/>
      </c>
      <c r="O570" s="2" t="str">
        <f ca="1"/>
        <v/>
      </c>
      <c r="P570" s="2" t="str">
        <f ca="1"/>
        <v/>
      </c>
      <c r="Q570" s="2" t="s">
        <v>5</v>
      </c>
      <c r="R570" s="2" t="s">
        <v>5</v>
      </c>
      <c r="U570" s="2" t="s">
        <v>81</v>
      </c>
      <c r="V570" s="2" t="e">
        <v>#N/A</v>
      </c>
      <c r="W570" s="31">
        <v>7500</v>
      </c>
      <c r="X570" s="29">
        <v>0</v>
      </c>
      <c r="Y570" s="30">
        <v>0</v>
      </c>
      <c r="Z570" s="29">
        <v>7500</v>
      </c>
      <c r="AA570" s="30">
        <v>3</v>
      </c>
      <c r="AB570" s="29">
        <v>8000</v>
      </c>
      <c r="AC570" s="30">
        <v>4</v>
      </c>
      <c r="AD570" s="29">
        <v>6000</v>
      </c>
      <c r="AE570" s="30">
        <v>3</v>
      </c>
      <c r="AF570" s="29">
        <v>0</v>
      </c>
      <c r="AG570" s="30">
        <v>0</v>
      </c>
      <c r="AH570" s="2" t="e">
        <v>#N/A</v>
      </c>
      <c r="AI570" s="2" t="e">
        <v>#N/A</v>
      </c>
      <c r="AJ570" s="2" t="s">
        <v>5</v>
      </c>
      <c r="AK570" s="2" t="s">
        <v>5</v>
      </c>
    </row>
    <row r="571" spans="3:37" ht="12.5">
      <c r="C571" s="2" t="str">
        <f ca="1"/>
        <v/>
      </c>
      <c r="D571" s="2" t="str">
        <v/>
      </c>
      <c r="E571" s="29" t="str">
        <v/>
      </c>
      <c r="F571" s="30" t="str">
        <v/>
      </c>
      <c r="G571" s="29" t="str">
        <v/>
      </c>
      <c r="H571" s="30" t="str">
        <v/>
      </c>
      <c r="I571" s="29" t="str">
        <v/>
      </c>
      <c r="J571" s="29" t="str">
        <v/>
      </c>
      <c r="K571" s="29" t="str">
        <v/>
      </c>
      <c r="L571" s="29" t="str">
        <v/>
      </c>
      <c r="M571" s="29" t="str">
        <v/>
      </c>
      <c r="N571" s="29" t="str">
        <v/>
      </c>
      <c r="O571" s="2" t="str">
        <f ca="1"/>
        <v/>
      </c>
      <c r="P571" s="2" t="str">
        <f ca="1"/>
        <v/>
      </c>
      <c r="Q571" s="2" t="s">
        <v>5</v>
      </c>
      <c r="R571" s="2" t="s">
        <v>5</v>
      </c>
      <c r="U571" s="2" t="s">
        <v>82</v>
      </c>
      <c r="V571" s="2" t="e">
        <v>#N/A</v>
      </c>
      <c r="W571" s="31">
        <v>5000</v>
      </c>
      <c r="X571" s="29">
        <v>0</v>
      </c>
      <c r="Y571" s="30">
        <v>0</v>
      </c>
      <c r="Z571" s="29">
        <v>5000</v>
      </c>
      <c r="AA571" s="30">
        <v>2</v>
      </c>
      <c r="AB571" s="29">
        <v>4000</v>
      </c>
      <c r="AC571" s="30">
        <v>2</v>
      </c>
      <c r="AD571" s="29">
        <v>6000</v>
      </c>
      <c r="AE571" s="30">
        <v>3</v>
      </c>
      <c r="AF571" s="29">
        <v>0</v>
      </c>
      <c r="AG571" s="30">
        <v>0</v>
      </c>
      <c r="AH571" s="2" t="e">
        <v>#N/A</v>
      </c>
      <c r="AI571" s="2" t="e">
        <v>#N/A</v>
      </c>
      <c r="AJ571" s="2" t="s">
        <v>5</v>
      </c>
      <c r="AK571" s="2" t="s">
        <v>5</v>
      </c>
    </row>
    <row r="572" spans="3:37" ht="12.5">
      <c r="C572" s="2" t="str">
        <f ca="1"/>
        <v/>
      </c>
      <c r="D572" s="2" t="str">
        <v/>
      </c>
      <c r="E572" s="29" t="str">
        <v/>
      </c>
      <c r="F572" s="30" t="str">
        <v/>
      </c>
      <c r="G572" s="29" t="str">
        <v/>
      </c>
      <c r="H572" s="30" t="str">
        <v/>
      </c>
      <c r="I572" s="29" t="str">
        <v/>
      </c>
      <c r="J572" s="29" t="str">
        <v/>
      </c>
      <c r="K572" s="29" t="str">
        <v/>
      </c>
      <c r="L572" s="29" t="str">
        <v/>
      </c>
      <c r="M572" s="29" t="str">
        <v/>
      </c>
      <c r="N572" s="29" t="str">
        <v/>
      </c>
      <c r="O572" s="2" t="str">
        <f ca="1"/>
        <v/>
      </c>
      <c r="P572" s="2" t="str">
        <f ca="1"/>
        <v/>
      </c>
      <c r="Q572" s="2" t="s">
        <v>5</v>
      </c>
      <c r="R572" s="2" t="s">
        <v>5</v>
      </c>
      <c r="U572" s="2" t="s">
        <v>84</v>
      </c>
      <c r="V572" s="2" t="e">
        <v>#N/A</v>
      </c>
      <c r="W572" s="31">
        <v>12500</v>
      </c>
      <c r="X572" s="29">
        <v>0</v>
      </c>
      <c r="Y572" s="30">
        <v>0</v>
      </c>
      <c r="Z572" s="29">
        <v>12500</v>
      </c>
      <c r="AA572" s="30">
        <v>5</v>
      </c>
      <c r="AB572" s="29">
        <v>0</v>
      </c>
      <c r="AC572" s="30">
        <v>0</v>
      </c>
      <c r="AD572" s="29">
        <v>8000</v>
      </c>
      <c r="AE572" s="30">
        <v>4</v>
      </c>
      <c r="AF572" s="29">
        <v>0</v>
      </c>
      <c r="AG572" s="30">
        <v>0</v>
      </c>
      <c r="AH572" s="2" t="e">
        <v>#N/A</v>
      </c>
      <c r="AI572" s="2" t="e">
        <v>#N/A</v>
      </c>
      <c r="AJ572" s="2" t="s">
        <v>5</v>
      </c>
      <c r="AK572" s="2" t="s">
        <v>5</v>
      </c>
    </row>
    <row r="573" spans="3:37" ht="12.5">
      <c r="C573" s="2" t="str">
        <f ca="1"/>
        <v/>
      </c>
      <c r="D573" s="2" t="str">
        <v/>
      </c>
      <c r="E573" s="29" t="str">
        <v/>
      </c>
      <c r="F573" s="30" t="str">
        <v/>
      </c>
      <c r="G573" s="29" t="str">
        <v/>
      </c>
      <c r="H573" s="30" t="str">
        <v/>
      </c>
      <c r="I573" s="29" t="str">
        <v/>
      </c>
      <c r="J573" s="29" t="str">
        <v/>
      </c>
      <c r="K573" s="29" t="str">
        <v/>
      </c>
      <c r="L573" s="29" t="str">
        <v/>
      </c>
      <c r="M573" s="29" t="str">
        <v/>
      </c>
      <c r="N573" s="29" t="str">
        <v/>
      </c>
      <c r="O573" s="2" t="str">
        <f ca="1"/>
        <v/>
      </c>
      <c r="P573" s="2" t="str">
        <f ca="1"/>
        <v/>
      </c>
      <c r="Q573" s="2" t="s">
        <v>5</v>
      </c>
      <c r="R573" s="2" t="s">
        <v>5</v>
      </c>
      <c r="U573" s="2" t="s">
        <v>85</v>
      </c>
      <c r="V573" s="2" t="e">
        <v>#N/A</v>
      </c>
      <c r="W573" s="31">
        <v>2500</v>
      </c>
      <c r="X573" s="29">
        <v>0</v>
      </c>
      <c r="Y573" s="30">
        <v>0</v>
      </c>
      <c r="Z573" s="29">
        <v>2500</v>
      </c>
      <c r="AA573" s="30">
        <v>1</v>
      </c>
      <c r="AB573" s="29">
        <v>2000</v>
      </c>
      <c r="AC573" s="30">
        <v>1</v>
      </c>
      <c r="AD573" s="29">
        <v>0</v>
      </c>
      <c r="AE573" s="30">
        <v>0</v>
      </c>
      <c r="AF573" s="29">
        <v>0</v>
      </c>
      <c r="AG573" s="30">
        <v>0</v>
      </c>
      <c r="AH573" s="2" t="e">
        <v>#N/A</v>
      </c>
      <c r="AI573" s="2" t="e">
        <v>#N/A</v>
      </c>
      <c r="AJ573" s="2" t="s">
        <v>5</v>
      </c>
      <c r="AK573" s="2" t="s">
        <v>5</v>
      </c>
    </row>
    <row r="574" spans="3:37" ht="12.5">
      <c r="C574" s="2" t="str">
        <f ca="1"/>
        <v/>
      </c>
      <c r="D574" s="2" t="str">
        <v/>
      </c>
      <c r="E574" s="29" t="str">
        <v/>
      </c>
      <c r="F574" s="30" t="str">
        <v/>
      </c>
      <c r="G574" s="29" t="str">
        <v/>
      </c>
      <c r="H574" s="30" t="str">
        <v/>
      </c>
      <c r="I574" s="29" t="str">
        <v/>
      </c>
      <c r="J574" s="29" t="str">
        <v/>
      </c>
      <c r="K574" s="29" t="str">
        <v/>
      </c>
      <c r="L574" s="29" t="str">
        <v/>
      </c>
      <c r="M574" s="29" t="str">
        <v/>
      </c>
      <c r="N574" s="29" t="str">
        <v/>
      </c>
      <c r="O574" s="2" t="str">
        <f ca="1"/>
        <v/>
      </c>
      <c r="P574" s="2" t="str">
        <f ca="1"/>
        <v/>
      </c>
      <c r="Q574" s="2" t="s">
        <v>5</v>
      </c>
      <c r="R574" s="2" t="s">
        <v>5</v>
      </c>
      <c r="U574" s="2" t="s">
        <v>86</v>
      </c>
      <c r="V574" s="2" t="e">
        <v>#N/A</v>
      </c>
      <c r="W574" s="31">
        <v>5000</v>
      </c>
      <c r="X574" s="29">
        <v>0</v>
      </c>
      <c r="Y574" s="30">
        <v>0</v>
      </c>
      <c r="Z574" s="29">
        <v>5000</v>
      </c>
      <c r="AA574" s="30">
        <v>2</v>
      </c>
      <c r="AB574" s="29">
        <v>6000</v>
      </c>
      <c r="AC574" s="30">
        <v>3</v>
      </c>
      <c r="AD574" s="29">
        <v>16000</v>
      </c>
      <c r="AE574" s="30">
        <v>8</v>
      </c>
      <c r="AF574" s="29">
        <v>0</v>
      </c>
      <c r="AG574" s="30">
        <v>0</v>
      </c>
      <c r="AH574" s="2" t="e">
        <v>#N/A</v>
      </c>
      <c r="AI574" s="2" t="e">
        <v>#N/A</v>
      </c>
      <c r="AJ574" s="2" t="s">
        <v>5</v>
      </c>
      <c r="AK574" s="2" t="s">
        <v>5</v>
      </c>
    </row>
    <row r="575" spans="3:37" ht="12.5">
      <c r="C575" s="2" t="str">
        <f ca="1"/>
        <v/>
      </c>
      <c r="D575" s="2" t="str">
        <v/>
      </c>
      <c r="E575" s="29" t="str">
        <v/>
      </c>
      <c r="F575" s="30" t="str">
        <v/>
      </c>
      <c r="G575" s="29" t="str">
        <v/>
      </c>
      <c r="H575" s="30" t="str">
        <v/>
      </c>
      <c r="I575" s="29" t="str">
        <v/>
      </c>
      <c r="J575" s="29" t="str">
        <v/>
      </c>
      <c r="K575" s="29" t="str">
        <v/>
      </c>
      <c r="L575" s="29" t="str">
        <v/>
      </c>
      <c r="M575" s="29" t="str">
        <v/>
      </c>
      <c r="N575" s="29" t="str">
        <v/>
      </c>
      <c r="O575" s="2" t="str">
        <f ca="1"/>
        <v/>
      </c>
      <c r="P575" s="2" t="str">
        <f ca="1"/>
        <v/>
      </c>
      <c r="Q575" s="2" t="s">
        <v>5</v>
      </c>
      <c r="R575" s="2" t="s">
        <v>5</v>
      </c>
      <c r="U575" s="2" t="s">
        <v>88</v>
      </c>
      <c r="V575" s="2" t="e">
        <v>#N/A</v>
      </c>
      <c r="W575" s="31">
        <v>2500</v>
      </c>
      <c r="X575" s="29">
        <v>0</v>
      </c>
      <c r="Y575" s="30">
        <v>0</v>
      </c>
      <c r="Z575" s="29">
        <v>2500</v>
      </c>
      <c r="AA575" s="30">
        <v>1</v>
      </c>
      <c r="AB575" s="29">
        <v>4000</v>
      </c>
      <c r="AC575" s="30">
        <v>2</v>
      </c>
      <c r="AD575" s="29">
        <v>2000</v>
      </c>
      <c r="AE575" s="30">
        <v>1</v>
      </c>
      <c r="AF575" s="29">
        <v>0</v>
      </c>
      <c r="AG575" s="30">
        <v>0</v>
      </c>
      <c r="AH575" s="2" t="e">
        <v>#N/A</v>
      </c>
      <c r="AI575" s="2" t="e">
        <v>#N/A</v>
      </c>
      <c r="AJ575" s="2" t="s">
        <v>5</v>
      </c>
      <c r="AK575" s="2" t="s">
        <v>5</v>
      </c>
    </row>
    <row r="576" spans="3:37" ht="12.5">
      <c r="C576" s="2" t="str">
        <f ca="1"/>
        <v/>
      </c>
      <c r="D576" s="2" t="str">
        <v/>
      </c>
      <c r="E576" s="29" t="str">
        <v/>
      </c>
      <c r="F576" s="30" t="str">
        <v/>
      </c>
      <c r="G576" s="29" t="str">
        <v/>
      </c>
      <c r="H576" s="30" t="str">
        <v/>
      </c>
      <c r="I576" s="29" t="str">
        <v/>
      </c>
      <c r="J576" s="29" t="str">
        <v/>
      </c>
      <c r="K576" s="29" t="str">
        <v/>
      </c>
      <c r="L576" s="29" t="str">
        <v/>
      </c>
      <c r="M576" s="29" t="str">
        <v/>
      </c>
      <c r="N576" s="29" t="str">
        <v/>
      </c>
      <c r="O576" s="2" t="str">
        <f ca="1"/>
        <v/>
      </c>
      <c r="P576" s="2" t="str">
        <f ca="1"/>
        <v/>
      </c>
      <c r="Q576" s="2" t="s">
        <v>5</v>
      </c>
      <c r="R576" s="2" t="s">
        <v>5</v>
      </c>
      <c r="U576" s="2" t="s">
        <v>89</v>
      </c>
      <c r="V576" s="2" t="e">
        <v>#N/A</v>
      </c>
      <c r="W576" s="31">
        <v>5000</v>
      </c>
      <c r="X576" s="29">
        <v>0</v>
      </c>
      <c r="Y576" s="30">
        <v>0</v>
      </c>
      <c r="Z576" s="29">
        <v>5000</v>
      </c>
      <c r="AA576" s="30">
        <v>2</v>
      </c>
      <c r="AB576" s="29">
        <v>6000</v>
      </c>
      <c r="AC576" s="30">
        <v>3</v>
      </c>
      <c r="AD576" s="29">
        <v>6000</v>
      </c>
      <c r="AE576" s="30">
        <v>3</v>
      </c>
      <c r="AF576" s="29">
        <v>0</v>
      </c>
      <c r="AG576" s="30">
        <v>0</v>
      </c>
      <c r="AH576" s="2" t="e">
        <v>#N/A</v>
      </c>
      <c r="AI576" s="2" t="e">
        <v>#N/A</v>
      </c>
      <c r="AJ576" s="2" t="s">
        <v>5</v>
      </c>
      <c r="AK576" s="2" t="s">
        <v>5</v>
      </c>
    </row>
    <row r="577" spans="3:37" ht="12.5">
      <c r="C577" s="2" t="str">
        <f ca="1"/>
        <v/>
      </c>
      <c r="D577" s="2" t="str">
        <v/>
      </c>
      <c r="E577" s="29" t="str">
        <v/>
      </c>
      <c r="F577" s="30" t="str">
        <v/>
      </c>
      <c r="G577" s="29" t="str">
        <v/>
      </c>
      <c r="H577" s="30" t="str">
        <v/>
      </c>
      <c r="I577" s="29" t="str">
        <v/>
      </c>
      <c r="J577" s="29" t="str">
        <v/>
      </c>
      <c r="K577" s="29" t="str">
        <v/>
      </c>
      <c r="L577" s="29" t="str">
        <v/>
      </c>
      <c r="M577" s="29" t="str">
        <v/>
      </c>
      <c r="N577" s="29" t="str">
        <v/>
      </c>
      <c r="O577" s="2" t="str">
        <f ca="1"/>
        <v/>
      </c>
      <c r="P577" s="2" t="str">
        <f ca="1"/>
        <v/>
      </c>
      <c r="Q577" s="2" t="s">
        <v>5</v>
      </c>
      <c r="R577" s="2" t="s">
        <v>5</v>
      </c>
      <c r="U577" s="2" t="s">
        <v>90</v>
      </c>
      <c r="V577" s="2" t="e">
        <v>#N/A</v>
      </c>
      <c r="W577" s="31">
        <v>2500</v>
      </c>
      <c r="X577" s="29">
        <v>0</v>
      </c>
      <c r="Y577" s="30">
        <v>0</v>
      </c>
      <c r="Z577" s="29">
        <v>2500</v>
      </c>
      <c r="AA577" s="30">
        <v>1</v>
      </c>
      <c r="AB577" s="29">
        <v>0</v>
      </c>
      <c r="AC577" s="30">
        <v>0</v>
      </c>
      <c r="AD577" s="29">
        <v>0</v>
      </c>
      <c r="AE577" s="30">
        <v>0</v>
      </c>
      <c r="AF577" s="29">
        <v>0</v>
      </c>
      <c r="AG577" s="30">
        <v>0</v>
      </c>
      <c r="AH577" s="2" t="e">
        <v>#N/A</v>
      </c>
      <c r="AI577" s="2" t="e">
        <v>#N/A</v>
      </c>
      <c r="AJ577" s="2" t="s">
        <v>5</v>
      </c>
      <c r="AK577" s="2" t="s">
        <v>5</v>
      </c>
    </row>
    <row r="578" spans="3:37" ht="12.5">
      <c r="C578" s="2" t="str">
        <f ca="1"/>
        <v/>
      </c>
      <c r="D578" s="2" t="str">
        <v/>
      </c>
      <c r="E578" s="29" t="str">
        <v/>
      </c>
      <c r="F578" s="30" t="str">
        <v/>
      </c>
      <c r="G578" s="29" t="str">
        <v/>
      </c>
      <c r="H578" s="30" t="str">
        <v/>
      </c>
      <c r="I578" s="29" t="str">
        <v/>
      </c>
      <c r="J578" s="29" t="str">
        <v/>
      </c>
      <c r="K578" s="29" t="str">
        <v/>
      </c>
      <c r="L578" s="29" t="str">
        <v/>
      </c>
      <c r="M578" s="29" t="str">
        <v/>
      </c>
      <c r="N578" s="29" t="str">
        <v/>
      </c>
      <c r="O578" s="2" t="str">
        <f ca="1"/>
        <v/>
      </c>
      <c r="P578" s="2" t="str">
        <f ca="1"/>
        <v/>
      </c>
      <c r="Q578" s="2" t="s">
        <v>5</v>
      </c>
      <c r="R578" s="2" t="s">
        <v>5</v>
      </c>
      <c r="U578" s="2" t="s">
        <v>91</v>
      </c>
      <c r="V578" s="2" t="e">
        <v>#N/A</v>
      </c>
      <c r="W578" s="31">
        <v>2500</v>
      </c>
      <c r="X578" s="29">
        <v>0</v>
      </c>
      <c r="Y578" s="30">
        <v>0</v>
      </c>
      <c r="Z578" s="29">
        <v>2500</v>
      </c>
      <c r="AA578" s="30">
        <v>1</v>
      </c>
      <c r="AB578" s="29">
        <v>0</v>
      </c>
      <c r="AC578" s="30">
        <v>0</v>
      </c>
      <c r="AD578" s="29">
        <v>6000</v>
      </c>
      <c r="AE578" s="30">
        <v>3</v>
      </c>
      <c r="AF578" s="29">
        <v>0</v>
      </c>
      <c r="AG578" s="30">
        <v>0</v>
      </c>
      <c r="AH578" s="2" t="e">
        <v>#N/A</v>
      </c>
      <c r="AI578" s="2" t="e">
        <v>#N/A</v>
      </c>
      <c r="AJ578" s="2" t="s">
        <v>5</v>
      </c>
      <c r="AK578" s="2" t="s">
        <v>5</v>
      </c>
    </row>
    <row r="579" spans="3:37" ht="12.5">
      <c r="C579" s="2" t="str">
        <f ca="1"/>
        <v/>
      </c>
      <c r="D579" s="2" t="str">
        <v/>
      </c>
      <c r="E579" s="29" t="str">
        <v/>
      </c>
      <c r="F579" s="30" t="str">
        <v/>
      </c>
      <c r="G579" s="29" t="str">
        <v/>
      </c>
      <c r="H579" s="30" t="str">
        <v/>
      </c>
      <c r="I579" s="29" t="str">
        <v/>
      </c>
      <c r="J579" s="29" t="str">
        <v/>
      </c>
      <c r="K579" s="29" t="str">
        <v/>
      </c>
      <c r="L579" s="29" t="str">
        <v/>
      </c>
      <c r="M579" s="29" t="str">
        <v/>
      </c>
      <c r="N579" s="29" t="str">
        <v/>
      </c>
      <c r="O579" s="2" t="str">
        <f ca="1"/>
        <v/>
      </c>
      <c r="P579" s="2" t="str">
        <f ca="1"/>
        <v/>
      </c>
      <c r="Q579" s="2" t="s">
        <v>5</v>
      </c>
      <c r="R579" s="2" t="s">
        <v>5</v>
      </c>
      <c r="U579" s="2" t="s">
        <v>92</v>
      </c>
      <c r="V579" s="2" t="e">
        <v>#N/A</v>
      </c>
      <c r="W579" s="31">
        <v>5000</v>
      </c>
      <c r="X579" s="29">
        <v>0</v>
      </c>
      <c r="Y579" s="30">
        <v>0</v>
      </c>
      <c r="Z579" s="29">
        <v>5000</v>
      </c>
      <c r="AA579" s="30">
        <v>2</v>
      </c>
      <c r="AB579" s="29">
        <v>6000</v>
      </c>
      <c r="AC579" s="30">
        <v>3</v>
      </c>
      <c r="AD579" s="29">
        <v>4000</v>
      </c>
      <c r="AE579" s="30">
        <v>2</v>
      </c>
      <c r="AF579" s="29">
        <v>0</v>
      </c>
      <c r="AG579" s="30">
        <v>0</v>
      </c>
      <c r="AH579" s="2" t="e">
        <v>#N/A</v>
      </c>
      <c r="AI579" s="2" t="e">
        <v>#N/A</v>
      </c>
      <c r="AJ579" s="2" t="s">
        <v>5</v>
      </c>
      <c r="AK579" s="2" t="s">
        <v>5</v>
      </c>
    </row>
    <row r="580" spans="3:37" ht="12.5">
      <c r="C580" s="2" t="str">
        <f ca="1"/>
        <v/>
      </c>
      <c r="D580" s="2" t="str">
        <v/>
      </c>
      <c r="E580" s="29" t="str">
        <v/>
      </c>
      <c r="F580" s="30" t="str">
        <v/>
      </c>
      <c r="G580" s="29" t="str">
        <v/>
      </c>
      <c r="H580" s="30" t="str">
        <v/>
      </c>
      <c r="I580" s="29" t="str">
        <v/>
      </c>
      <c r="J580" s="29" t="str">
        <v/>
      </c>
      <c r="K580" s="29" t="str">
        <v/>
      </c>
      <c r="L580" s="29" t="str">
        <v/>
      </c>
      <c r="M580" s="29" t="str">
        <v/>
      </c>
      <c r="N580" s="29" t="str">
        <v/>
      </c>
      <c r="O580" s="2" t="str">
        <f ca="1"/>
        <v/>
      </c>
      <c r="P580" s="2" t="str">
        <f ca="1"/>
        <v/>
      </c>
      <c r="Q580" s="2" t="s">
        <v>5</v>
      </c>
      <c r="R580" s="2" t="s">
        <v>5</v>
      </c>
      <c r="U580" s="2" t="s">
        <v>93</v>
      </c>
      <c r="V580" s="2" t="e">
        <v>#N/A</v>
      </c>
      <c r="W580" s="31">
        <v>5000</v>
      </c>
      <c r="X580" s="29">
        <v>0</v>
      </c>
      <c r="Y580" s="30">
        <v>0</v>
      </c>
      <c r="Z580" s="29">
        <v>5000</v>
      </c>
      <c r="AA580" s="30">
        <v>2</v>
      </c>
      <c r="AB580" s="29">
        <v>6000</v>
      </c>
      <c r="AC580" s="30">
        <v>3</v>
      </c>
      <c r="AD580" s="29">
        <v>2000</v>
      </c>
      <c r="AE580" s="30">
        <v>1</v>
      </c>
      <c r="AF580" s="29">
        <v>0</v>
      </c>
      <c r="AG580" s="30">
        <v>0</v>
      </c>
      <c r="AH580" s="2" t="e">
        <v>#N/A</v>
      </c>
      <c r="AI580" s="2" t="e">
        <v>#N/A</v>
      </c>
      <c r="AJ580" s="2" t="s">
        <v>5</v>
      </c>
      <c r="AK580" s="2" t="s">
        <v>5</v>
      </c>
    </row>
    <row r="581" spans="3:37" ht="12.5">
      <c r="C581" s="2" t="str">
        <f ca="1"/>
        <v/>
      </c>
      <c r="D581" s="2" t="str">
        <v/>
      </c>
      <c r="E581" s="29" t="str">
        <v/>
      </c>
      <c r="F581" s="30" t="str">
        <v/>
      </c>
      <c r="G581" s="29" t="str">
        <v/>
      </c>
      <c r="H581" s="30" t="str">
        <v/>
      </c>
      <c r="I581" s="29" t="str">
        <v/>
      </c>
      <c r="J581" s="29" t="str">
        <v/>
      </c>
      <c r="K581" s="29" t="str">
        <v/>
      </c>
      <c r="L581" s="29" t="str">
        <v/>
      </c>
      <c r="M581" s="29" t="str">
        <v/>
      </c>
      <c r="N581" s="29" t="str">
        <v/>
      </c>
      <c r="O581" s="2" t="str">
        <f ca="1"/>
        <v/>
      </c>
      <c r="P581" s="2" t="str">
        <f ca="1"/>
        <v/>
      </c>
      <c r="Q581" s="2" t="s">
        <v>5</v>
      </c>
      <c r="R581" s="2" t="s">
        <v>5</v>
      </c>
      <c r="U581" s="2" t="s">
        <v>95</v>
      </c>
      <c r="V581" s="2" t="e">
        <v>#N/A</v>
      </c>
      <c r="W581" s="2">
        <v>17500</v>
      </c>
      <c r="X581" s="29">
        <v>0</v>
      </c>
      <c r="Y581" s="30">
        <v>0</v>
      </c>
      <c r="Z581" s="29">
        <v>17500</v>
      </c>
      <c r="AA581" s="30">
        <v>7</v>
      </c>
      <c r="AB581" s="29">
        <v>12000</v>
      </c>
      <c r="AC581" s="29">
        <v>6</v>
      </c>
      <c r="AD581" s="29">
        <v>6000</v>
      </c>
      <c r="AE581" s="29">
        <v>3</v>
      </c>
      <c r="AF581" s="29">
        <v>0</v>
      </c>
      <c r="AG581" s="29">
        <v>0</v>
      </c>
      <c r="AH581" s="2" t="e">
        <v>#N/A</v>
      </c>
      <c r="AI581" s="2" t="e">
        <v>#N/A</v>
      </c>
      <c r="AJ581" s="2" t="s">
        <v>5</v>
      </c>
      <c r="AK581" s="2" t="s">
        <v>5</v>
      </c>
    </row>
    <row r="582" spans="3:37" ht="12.5">
      <c r="C582" s="2" t="str">
        <f ca="1"/>
        <v/>
      </c>
      <c r="D582" s="2" t="str">
        <v/>
      </c>
      <c r="E582" s="29" t="str">
        <v/>
      </c>
      <c r="F582" s="30" t="str">
        <v/>
      </c>
      <c r="G582" s="29" t="str">
        <v/>
      </c>
      <c r="H582" s="30" t="str">
        <v/>
      </c>
      <c r="I582" s="29" t="str">
        <v/>
      </c>
      <c r="J582" s="29" t="str">
        <v/>
      </c>
      <c r="K582" s="29" t="str">
        <v/>
      </c>
      <c r="L582" s="29" t="str">
        <v/>
      </c>
      <c r="M582" s="29" t="str">
        <v/>
      </c>
      <c r="N582" s="29" t="str">
        <v/>
      </c>
      <c r="O582" s="2" t="str">
        <f ca="1"/>
        <v/>
      </c>
      <c r="P582" s="2" t="str">
        <f ca="1"/>
        <v/>
      </c>
      <c r="Q582" s="2" t="s">
        <v>5</v>
      </c>
      <c r="R582" s="2" t="s">
        <v>5</v>
      </c>
      <c r="U582" s="2" t="s">
        <v>96</v>
      </c>
      <c r="V582" s="2" t="e">
        <v>#N/A</v>
      </c>
      <c r="W582" s="2">
        <v>15000</v>
      </c>
      <c r="X582" s="29">
        <v>0</v>
      </c>
      <c r="Y582" s="30">
        <v>0</v>
      </c>
      <c r="Z582" s="29">
        <v>15000</v>
      </c>
      <c r="AA582" s="30">
        <v>6</v>
      </c>
      <c r="AB582" s="29">
        <v>14000</v>
      </c>
      <c r="AC582" s="29">
        <v>7</v>
      </c>
      <c r="AD582" s="29">
        <v>8000</v>
      </c>
      <c r="AE582" s="29">
        <v>4</v>
      </c>
      <c r="AF582" s="29">
        <v>0</v>
      </c>
      <c r="AG582" s="29">
        <v>0</v>
      </c>
      <c r="AH582" s="2" t="e">
        <v>#N/A</v>
      </c>
      <c r="AI582" s="2" t="e">
        <v>#N/A</v>
      </c>
      <c r="AJ582" s="2" t="s">
        <v>5</v>
      </c>
      <c r="AK582" s="2" t="s">
        <v>5</v>
      </c>
    </row>
    <row r="583" spans="3:37" ht="12.5">
      <c r="C583" s="2" t="str">
        <f ca="1"/>
        <v/>
      </c>
      <c r="D583" s="2" t="str">
        <v/>
      </c>
      <c r="E583" s="29" t="str">
        <v/>
      </c>
      <c r="F583" s="30" t="str">
        <v/>
      </c>
      <c r="G583" s="29" t="str">
        <v/>
      </c>
      <c r="H583" s="30" t="str">
        <v/>
      </c>
      <c r="I583" s="29" t="str">
        <v/>
      </c>
      <c r="J583" s="29" t="str">
        <v/>
      </c>
      <c r="K583" s="29" t="str">
        <v/>
      </c>
      <c r="L583" s="29" t="str">
        <v/>
      </c>
      <c r="M583" s="29" t="str">
        <v/>
      </c>
      <c r="N583" s="29" t="str">
        <v/>
      </c>
      <c r="O583" s="2" t="str">
        <f ca="1"/>
        <v/>
      </c>
      <c r="P583" s="2" t="str">
        <f ca="1"/>
        <v/>
      </c>
      <c r="Q583" s="2" t="s">
        <v>5</v>
      </c>
      <c r="R583" s="2" t="s">
        <v>5</v>
      </c>
      <c r="U583" s="2" t="s">
        <v>97</v>
      </c>
      <c r="V583" s="2" t="e">
        <v>#N/A</v>
      </c>
      <c r="W583" s="2">
        <v>2500</v>
      </c>
      <c r="X583" s="29">
        <v>0</v>
      </c>
      <c r="Y583" s="30">
        <v>0</v>
      </c>
      <c r="Z583" s="29">
        <v>2500</v>
      </c>
      <c r="AA583" s="30">
        <v>1</v>
      </c>
      <c r="AB583" s="29">
        <v>6000</v>
      </c>
      <c r="AC583" s="29">
        <v>3</v>
      </c>
      <c r="AD583" s="29">
        <v>2000</v>
      </c>
      <c r="AE583" s="29">
        <v>1</v>
      </c>
      <c r="AF583" s="29">
        <v>0</v>
      </c>
      <c r="AG583" s="29">
        <v>0</v>
      </c>
      <c r="AH583" s="2" t="e">
        <v>#N/A</v>
      </c>
      <c r="AI583" s="2" t="e">
        <v>#N/A</v>
      </c>
      <c r="AJ583" s="2" t="s">
        <v>5</v>
      </c>
      <c r="AK583" s="2" t="s">
        <v>5</v>
      </c>
    </row>
    <row r="584" spans="3:37" ht="12.5">
      <c r="C584" s="2" t="str">
        <f ca="1"/>
        <v/>
      </c>
      <c r="D584" s="2" t="str">
        <v/>
      </c>
      <c r="E584" s="29" t="str">
        <v/>
      </c>
      <c r="F584" s="30" t="str">
        <v/>
      </c>
      <c r="G584" s="29" t="str">
        <v/>
      </c>
      <c r="H584" s="30" t="str">
        <v/>
      </c>
      <c r="I584" s="29" t="str">
        <v/>
      </c>
      <c r="J584" s="29" t="str">
        <v/>
      </c>
      <c r="K584" s="29" t="str">
        <v/>
      </c>
      <c r="L584" s="29" t="str">
        <v/>
      </c>
      <c r="M584" s="29" t="str">
        <v/>
      </c>
      <c r="N584" s="29" t="str">
        <v/>
      </c>
      <c r="O584" s="2" t="str">
        <f ca="1"/>
        <v/>
      </c>
      <c r="P584" s="2" t="str">
        <f ca="1"/>
        <v/>
      </c>
      <c r="Q584" s="2" t="s">
        <v>5</v>
      </c>
      <c r="R584" s="2" t="s">
        <v>5</v>
      </c>
      <c r="U584" s="2" t="s">
        <v>98</v>
      </c>
      <c r="V584" s="2" t="e">
        <v>#N/A</v>
      </c>
      <c r="W584" s="2">
        <v>5000</v>
      </c>
      <c r="X584" s="29">
        <v>0</v>
      </c>
      <c r="Y584" s="30">
        <v>0</v>
      </c>
      <c r="Z584" s="29">
        <v>5000</v>
      </c>
      <c r="AA584" s="30">
        <v>2</v>
      </c>
      <c r="AB584" s="29">
        <v>4000</v>
      </c>
      <c r="AC584" s="29">
        <v>2</v>
      </c>
      <c r="AD584" s="29">
        <v>14000</v>
      </c>
      <c r="AE584" s="29">
        <v>7</v>
      </c>
      <c r="AF584" s="29">
        <v>0</v>
      </c>
      <c r="AG584" s="29">
        <v>0</v>
      </c>
      <c r="AH584" s="2" t="e">
        <v>#N/A</v>
      </c>
      <c r="AI584" s="2" t="e">
        <v>#N/A</v>
      </c>
      <c r="AJ584" s="2" t="s">
        <v>5</v>
      </c>
      <c r="AK584" s="2" t="s">
        <v>5</v>
      </c>
    </row>
    <row r="585" spans="3:37" ht="12.5">
      <c r="C585" s="2" t="str">
        <f ca="1"/>
        <v/>
      </c>
      <c r="D585" s="2" t="str">
        <v/>
      </c>
      <c r="E585" s="29" t="str">
        <v/>
      </c>
      <c r="F585" s="30" t="str">
        <v/>
      </c>
      <c r="G585" s="29" t="str">
        <v/>
      </c>
      <c r="H585" s="30" t="str">
        <v/>
      </c>
      <c r="I585" s="29" t="str">
        <v/>
      </c>
      <c r="J585" s="29" t="str">
        <v/>
      </c>
      <c r="K585" s="29" t="str">
        <v/>
      </c>
      <c r="L585" s="29" t="str">
        <v/>
      </c>
      <c r="M585" s="29" t="str">
        <v/>
      </c>
      <c r="N585" s="29" t="str">
        <v/>
      </c>
      <c r="O585" s="2" t="str">
        <f ca="1"/>
        <v/>
      </c>
      <c r="P585" s="2" t="str">
        <f ca="1"/>
        <v/>
      </c>
      <c r="Q585" s="2" t="s">
        <v>5</v>
      </c>
      <c r="R585" s="2" t="s">
        <v>5</v>
      </c>
      <c r="U585" s="2" t="s">
        <v>99</v>
      </c>
      <c r="V585" s="2" t="e">
        <v>#N/A</v>
      </c>
      <c r="W585" s="2">
        <v>2500</v>
      </c>
      <c r="X585" s="29">
        <v>0</v>
      </c>
      <c r="Y585" s="30">
        <v>0</v>
      </c>
      <c r="Z585" s="29">
        <v>2500</v>
      </c>
      <c r="AA585" s="30">
        <v>1</v>
      </c>
      <c r="AB585" s="29">
        <v>0</v>
      </c>
      <c r="AC585" s="29">
        <v>0</v>
      </c>
      <c r="AD585" s="29">
        <v>0</v>
      </c>
      <c r="AE585" s="29">
        <v>0</v>
      </c>
      <c r="AF585" s="29">
        <v>0</v>
      </c>
      <c r="AG585" s="29">
        <v>0</v>
      </c>
      <c r="AH585" s="2" t="e">
        <v>#N/A</v>
      </c>
      <c r="AI585" s="2" t="e">
        <v>#N/A</v>
      </c>
      <c r="AJ585" s="2" t="s">
        <v>5</v>
      </c>
      <c r="AK585" s="2" t="s">
        <v>5</v>
      </c>
    </row>
    <row r="586" spans="3:37" ht="12.5">
      <c r="C586" s="2" t="str">
        <f ca="1"/>
        <v/>
      </c>
      <c r="D586" s="2" t="str">
        <v/>
      </c>
      <c r="E586" s="29" t="str">
        <v/>
      </c>
      <c r="F586" s="30" t="str">
        <v/>
      </c>
      <c r="G586" s="29" t="str">
        <v/>
      </c>
      <c r="H586" s="30" t="str">
        <v/>
      </c>
      <c r="I586" s="29" t="str">
        <v/>
      </c>
      <c r="J586" s="29" t="str">
        <v/>
      </c>
      <c r="K586" s="29" t="str">
        <v/>
      </c>
      <c r="L586" s="29" t="str">
        <v/>
      </c>
      <c r="M586" s="29" t="str">
        <v/>
      </c>
      <c r="N586" s="29" t="str">
        <v/>
      </c>
      <c r="O586" s="2" t="str">
        <f ca="1"/>
        <v/>
      </c>
      <c r="P586" s="2" t="str">
        <f ca="1"/>
        <v/>
      </c>
      <c r="Q586" s="2" t="s">
        <v>5</v>
      </c>
      <c r="R586" s="2" t="s">
        <v>5</v>
      </c>
      <c r="U586" s="2" t="s">
        <v>100</v>
      </c>
      <c r="V586" s="2" t="e">
        <v>#N/A</v>
      </c>
      <c r="W586" s="2">
        <v>10000</v>
      </c>
      <c r="X586" s="29">
        <v>0</v>
      </c>
      <c r="Y586" s="30">
        <v>0</v>
      </c>
      <c r="Z586" s="29">
        <v>10000</v>
      </c>
      <c r="AA586" s="30">
        <v>4</v>
      </c>
      <c r="AB586" s="29">
        <v>16000</v>
      </c>
      <c r="AC586" s="29">
        <v>8</v>
      </c>
      <c r="AD586" s="29">
        <v>4000</v>
      </c>
      <c r="AE586" s="29">
        <v>2</v>
      </c>
      <c r="AF586" s="29">
        <v>0</v>
      </c>
      <c r="AG586" s="29">
        <v>0</v>
      </c>
      <c r="AH586" s="2" t="e">
        <v>#N/A</v>
      </c>
      <c r="AI586" s="2" t="e">
        <v>#N/A</v>
      </c>
      <c r="AJ586" s="2" t="s">
        <v>5</v>
      </c>
      <c r="AK586" s="2" t="s">
        <v>5</v>
      </c>
    </row>
    <row r="587" spans="3:37" ht="12.5">
      <c r="C587" s="2" t="str">
        <f ca="1"/>
        <v/>
      </c>
      <c r="D587" s="2" t="str">
        <v/>
      </c>
      <c r="E587" s="29" t="str">
        <v/>
      </c>
      <c r="F587" s="30" t="str">
        <v/>
      </c>
      <c r="G587" s="29" t="str">
        <v/>
      </c>
      <c r="H587" s="30" t="str">
        <v/>
      </c>
      <c r="I587" s="29" t="str">
        <v/>
      </c>
      <c r="J587" s="29" t="str">
        <v/>
      </c>
      <c r="K587" s="29" t="str">
        <v/>
      </c>
      <c r="L587" s="29" t="str">
        <v/>
      </c>
      <c r="M587" s="29" t="str">
        <v/>
      </c>
      <c r="N587" s="29" t="str">
        <v/>
      </c>
      <c r="O587" s="2" t="str">
        <f ca="1"/>
        <v/>
      </c>
      <c r="P587" s="2" t="str">
        <f ca="1"/>
        <v/>
      </c>
      <c r="Q587" s="2" t="s">
        <v>5</v>
      </c>
      <c r="R587" s="2" t="s">
        <v>5</v>
      </c>
      <c r="U587" s="2" t="s">
        <v>101</v>
      </c>
      <c r="V587" s="2" t="e">
        <v>#N/A</v>
      </c>
      <c r="W587" s="2">
        <v>2500</v>
      </c>
      <c r="X587" s="29">
        <v>0</v>
      </c>
      <c r="Y587" s="30">
        <v>0</v>
      </c>
      <c r="Z587" s="29">
        <v>2500</v>
      </c>
      <c r="AA587" s="30">
        <v>1</v>
      </c>
      <c r="AB587" s="29">
        <v>2000</v>
      </c>
      <c r="AC587" s="29">
        <v>1</v>
      </c>
      <c r="AD587" s="29">
        <v>0</v>
      </c>
      <c r="AE587" s="29">
        <v>0</v>
      </c>
      <c r="AF587" s="29">
        <v>0</v>
      </c>
      <c r="AG587" s="29">
        <v>0</v>
      </c>
      <c r="AH587" s="2" t="e">
        <v>#N/A</v>
      </c>
      <c r="AI587" s="2" t="e">
        <v>#N/A</v>
      </c>
      <c r="AJ587" s="2" t="s">
        <v>5</v>
      </c>
      <c r="AK587" s="2" t="s">
        <v>5</v>
      </c>
    </row>
    <row r="588" spans="3:37" ht="12.5">
      <c r="C588" s="2" t="str">
        <f ca="1"/>
        <v/>
      </c>
      <c r="D588" s="2" t="str">
        <v/>
      </c>
      <c r="E588" s="29" t="str">
        <v/>
      </c>
      <c r="F588" s="30" t="str">
        <v/>
      </c>
      <c r="G588" s="29" t="str">
        <v/>
      </c>
      <c r="H588" s="30" t="str">
        <v/>
      </c>
      <c r="I588" s="29" t="str">
        <v/>
      </c>
      <c r="J588" s="29" t="str">
        <v/>
      </c>
      <c r="K588" s="29" t="str">
        <v/>
      </c>
      <c r="L588" s="29" t="str">
        <v/>
      </c>
      <c r="M588" s="29" t="str">
        <v/>
      </c>
      <c r="N588" s="29" t="str">
        <v/>
      </c>
      <c r="O588" s="2" t="str">
        <f ca="1"/>
        <v/>
      </c>
      <c r="P588" s="2" t="str">
        <f ca="1"/>
        <v/>
      </c>
      <c r="Q588" s="2" t="s">
        <v>5</v>
      </c>
      <c r="R588" s="2" t="s">
        <v>5</v>
      </c>
      <c r="U588" s="2" t="s">
        <v>102</v>
      </c>
      <c r="V588" s="2" t="e">
        <v>#N/A</v>
      </c>
      <c r="W588" s="2">
        <v>7500</v>
      </c>
      <c r="X588" s="29">
        <v>0</v>
      </c>
      <c r="Y588" s="30">
        <v>0</v>
      </c>
      <c r="Z588" s="29">
        <v>7500</v>
      </c>
      <c r="AA588" s="30">
        <v>3</v>
      </c>
      <c r="AB588" s="29">
        <v>16000</v>
      </c>
      <c r="AC588" s="29">
        <v>8</v>
      </c>
      <c r="AD588" s="29">
        <v>16000</v>
      </c>
      <c r="AE588" s="29">
        <v>8</v>
      </c>
      <c r="AF588" s="29">
        <v>0</v>
      </c>
      <c r="AG588" s="29">
        <v>0</v>
      </c>
      <c r="AH588" s="2" t="e">
        <v>#N/A</v>
      </c>
      <c r="AI588" s="2" t="e">
        <v>#N/A</v>
      </c>
      <c r="AJ588" s="2" t="s">
        <v>5</v>
      </c>
      <c r="AK588" s="2" t="s">
        <v>5</v>
      </c>
    </row>
    <row r="589" spans="3:37" ht="12.5">
      <c r="C589" s="2" t="str">
        <f ca="1"/>
        <v/>
      </c>
      <c r="D589" s="2" t="str">
        <v/>
      </c>
      <c r="E589" s="29" t="str">
        <v/>
      </c>
      <c r="F589" s="30" t="str">
        <v/>
      </c>
      <c r="G589" s="29" t="str">
        <v/>
      </c>
      <c r="H589" s="30" t="str">
        <v/>
      </c>
      <c r="I589" s="29" t="str">
        <v/>
      </c>
      <c r="J589" s="29" t="str">
        <v/>
      </c>
      <c r="K589" s="29" t="str">
        <v/>
      </c>
      <c r="L589" s="29" t="str">
        <v/>
      </c>
      <c r="M589" s="29" t="str">
        <v/>
      </c>
      <c r="N589" s="29" t="str">
        <v/>
      </c>
      <c r="O589" s="2" t="str">
        <f ca="1"/>
        <v/>
      </c>
      <c r="P589" s="2" t="str">
        <f ca="1"/>
        <v/>
      </c>
      <c r="Q589" s="2" t="s">
        <v>5</v>
      </c>
      <c r="R589" s="2" t="s">
        <v>5</v>
      </c>
      <c r="U589" s="2" t="s">
        <v>103</v>
      </c>
      <c r="V589" s="2" t="e">
        <v>#N/A</v>
      </c>
      <c r="W589" s="2">
        <v>2500</v>
      </c>
      <c r="X589" s="29">
        <v>0</v>
      </c>
      <c r="Y589" s="30">
        <v>0</v>
      </c>
      <c r="Z589" s="29">
        <v>2500</v>
      </c>
      <c r="AA589" s="30">
        <v>1</v>
      </c>
      <c r="AB589" s="29">
        <v>6000</v>
      </c>
      <c r="AC589" s="29">
        <v>3</v>
      </c>
      <c r="AD589" s="29">
        <v>10000</v>
      </c>
      <c r="AE589" s="29">
        <v>5</v>
      </c>
      <c r="AF589" s="29">
        <v>0</v>
      </c>
      <c r="AG589" s="29">
        <v>0</v>
      </c>
      <c r="AH589" s="2" t="e">
        <v>#N/A</v>
      </c>
      <c r="AI589" s="2" t="e">
        <v>#N/A</v>
      </c>
      <c r="AJ589" s="2" t="s">
        <v>5</v>
      </c>
      <c r="AK589" s="2" t="s">
        <v>5</v>
      </c>
    </row>
    <row r="590" spans="3:37" ht="12.5">
      <c r="C590" s="2" t="str">
        <f ca="1"/>
        <v/>
      </c>
      <c r="D590" s="2" t="str">
        <v/>
      </c>
      <c r="E590" s="29" t="str">
        <v/>
      </c>
      <c r="F590" s="30" t="str">
        <v/>
      </c>
      <c r="G590" s="29" t="str">
        <v/>
      </c>
      <c r="H590" s="30" t="str">
        <v/>
      </c>
      <c r="I590" s="29" t="str">
        <v/>
      </c>
      <c r="J590" s="29" t="str">
        <v/>
      </c>
      <c r="K590" s="29" t="str">
        <v/>
      </c>
      <c r="L590" s="29" t="str">
        <v/>
      </c>
      <c r="M590" s="29" t="str">
        <v/>
      </c>
      <c r="N590" s="29" t="str">
        <v/>
      </c>
      <c r="O590" s="2" t="str">
        <f ca="1"/>
        <v/>
      </c>
      <c r="P590" s="2" t="str">
        <f ca="1"/>
        <v/>
      </c>
      <c r="Q590" s="2" t="s">
        <v>5</v>
      </c>
      <c r="R590" s="2" t="s">
        <v>5</v>
      </c>
      <c r="U590" s="2" t="s">
        <v>104</v>
      </c>
      <c r="V590" s="2" t="e">
        <v>#N/A</v>
      </c>
      <c r="W590" s="2">
        <v>5000</v>
      </c>
      <c r="X590" s="29">
        <v>0</v>
      </c>
      <c r="Y590" s="30">
        <v>0</v>
      </c>
      <c r="Z590" s="29">
        <v>5000</v>
      </c>
      <c r="AA590" s="30">
        <v>2</v>
      </c>
      <c r="AB590" s="29">
        <v>12000</v>
      </c>
      <c r="AC590" s="29">
        <v>6</v>
      </c>
      <c r="AD590" s="29">
        <v>6000</v>
      </c>
      <c r="AE590" s="29">
        <v>3</v>
      </c>
      <c r="AF590" s="29">
        <v>0</v>
      </c>
      <c r="AG590" s="29">
        <v>0</v>
      </c>
      <c r="AH590" s="2" t="e">
        <v>#N/A</v>
      </c>
      <c r="AI590" s="2" t="e">
        <v>#N/A</v>
      </c>
      <c r="AJ590" s="2" t="s">
        <v>5</v>
      </c>
      <c r="AK590" s="2" t="s">
        <v>5</v>
      </c>
    </row>
    <row r="591" spans="3:37" ht="12.5">
      <c r="C591" s="2" t="str">
        <f ca="1"/>
        <v/>
      </c>
      <c r="D591" s="2" t="str">
        <v/>
      </c>
      <c r="E591" s="29" t="str">
        <v/>
      </c>
      <c r="F591" s="30" t="str">
        <v/>
      </c>
      <c r="G591" s="29" t="str">
        <v/>
      </c>
      <c r="H591" s="30" t="str">
        <v/>
      </c>
      <c r="I591" s="29" t="str">
        <v/>
      </c>
      <c r="J591" s="29" t="str">
        <v/>
      </c>
      <c r="K591" s="29" t="str">
        <v/>
      </c>
      <c r="L591" s="29" t="str">
        <v/>
      </c>
      <c r="M591" s="29" t="str">
        <v/>
      </c>
      <c r="N591" s="29" t="str">
        <v/>
      </c>
      <c r="O591" s="2" t="str">
        <f ca="1"/>
        <v/>
      </c>
      <c r="P591" s="2" t="str">
        <f ca="1"/>
        <v/>
      </c>
      <c r="Q591" s="2" t="s">
        <v>5</v>
      </c>
      <c r="R591" s="2" t="s">
        <v>5</v>
      </c>
      <c r="U591" s="2" t="s">
        <v>106</v>
      </c>
      <c r="V591" s="2" t="e">
        <v>#N/A</v>
      </c>
      <c r="W591" s="2">
        <v>7500</v>
      </c>
      <c r="X591" s="29">
        <v>0</v>
      </c>
      <c r="Y591" s="30">
        <v>0</v>
      </c>
      <c r="Z591" s="29">
        <v>7500</v>
      </c>
      <c r="AA591" s="30">
        <v>3</v>
      </c>
      <c r="AB591" s="29">
        <v>4000</v>
      </c>
      <c r="AC591" s="29">
        <v>2</v>
      </c>
      <c r="AD591" s="29">
        <v>6000</v>
      </c>
      <c r="AE591" s="29">
        <v>3</v>
      </c>
      <c r="AF591" s="29">
        <v>0</v>
      </c>
      <c r="AG591" s="29">
        <v>0</v>
      </c>
      <c r="AH591" s="2" t="e">
        <v>#N/A</v>
      </c>
      <c r="AI591" s="2" t="e">
        <v>#N/A</v>
      </c>
      <c r="AJ591" s="2" t="s">
        <v>5</v>
      </c>
      <c r="AK591" s="2" t="s">
        <v>5</v>
      </c>
    </row>
    <row r="592" spans="3:37" ht="12.5">
      <c r="C592" s="2" t="str">
        <f ca="1"/>
        <v/>
      </c>
      <c r="D592" s="2" t="str">
        <v/>
      </c>
      <c r="E592" s="29" t="str">
        <v/>
      </c>
      <c r="F592" s="30" t="str">
        <v/>
      </c>
      <c r="G592" s="29" t="str">
        <v/>
      </c>
      <c r="H592" s="30" t="str">
        <v/>
      </c>
      <c r="I592" s="29" t="str">
        <v/>
      </c>
      <c r="J592" s="29" t="str">
        <v/>
      </c>
      <c r="K592" s="29" t="str">
        <v/>
      </c>
      <c r="L592" s="29" t="str">
        <v/>
      </c>
      <c r="M592" s="29" t="str">
        <v/>
      </c>
      <c r="N592" s="29" t="str">
        <v/>
      </c>
      <c r="O592" s="2" t="str">
        <f ca="1"/>
        <v/>
      </c>
      <c r="P592" s="2" t="str">
        <f ca="1"/>
        <v/>
      </c>
      <c r="Q592" s="2" t="s">
        <v>5</v>
      </c>
      <c r="R592" s="2" t="s">
        <v>5</v>
      </c>
      <c r="U592" s="2" t="s">
        <v>108</v>
      </c>
      <c r="V592" s="2" t="e">
        <v>#N/A</v>
      </c>
      <c r="W592" s="2">
        <v>10000</v>
      </c>
      <c r="X592" s="29">
        <v>0</v>
      </c>
      <c r="Y592" s="30">
        <v>0</v>
      </c>
      <c r="Z592" s="29">
        <v>10000</v>
      </c>
      <c r="AA592" s="30">
        <v>4</v>
      </c>
      <c r="AB592" s="29">
        <v>4000</v>
      </c>
      <c r="AC592" s="29">
        <v>2</v>
      </c>
      <c r="AD592" s="29">
        <v>12000</v>
      </c>
      <c r="AE592" s="29">
        <v>6</v>
      </c>
      <c r="AF592" s="29">
        <v>0</v>
      </c>
      <c r="AG592" s="29">
        <v>0</v>
      </c>
      <c r="AH592" s="2" t="e">
        <v>#N/A</v>
      </c>
      <c r="AI592" s="2" t="e">
        <v>#N/A</v>
      </c>
      <c r="AJ592" s="2" t="s">
        <v>5</v>
      </c>
      <c r="AK592" s="2" t="s">
        <v>5</v>
      </c>
    </row>
    <row r="593" spans="3:37" ht="12.5">
      <c r="C593" s="2" t="str">
        <f ca="1"/>
        <v/>
      </c>
      <c r="D593" s="2" t="str">
        <v/>
      </c>
      <c r="E593" s="29" t="str">
        <v/>
      </c>
      <c r="F593" s="30" t="str">
        <v/>
      </c>
      <c r="G593" s="29" t="str">
        <v/>
      </c>
      <c r="H593" s="30" t="str">
        <v/>
      </c>
      <c r="I593" s="29" t="str">
        <v/>
      </c>
      <c r="J593" s="29" t="str">
        <v/>
      </c>
      <c r="K593" s="29" t="str">
        <v/>
      </c>
      <c r="L593" s="29" t="str">
        <v/>
      </c>
      <c r="M593" s="29" t="str">
        <v/>
      </c>
      <c r="N593" s="29" t="str">
        <v/>
      </c>
      <c r="O593" s="2" t="str">
        <f ca="1"/>
        <v/>
      </c>
      <c r="P593" s="2" t="str">
        <f ca="1"/>
        <v/>
      </c>
      <c r="Q593" s="2" t="s">
        <v>5</v>
      </c>
      <c r="R593" s="2" t="s">
        <v>5</v>
      </c>
      <c r="U593" s="2" t="s">
        <v>109</v>
      </c>
      <c r="V593" s="2" t="e">
        <v>#N/A</v>
      </c>
      <c r="W593" s="2">
        <v>7500</v>
      </c>
      <c r="X593" s="29">
        <v>0</v>
      </c>
      <c r="Y593" s="30">
        <v>0</v>
      </c>
      <c r="Z593" s="29">
        <v>7500</v>
      </c>
      <c r="AA593" s="30">
        <v>3</v>
      </c>
      <c r="AB593" s="29">
        <v>12000</v>
      </c>
      <c r="AC593" s="29">
        <v>6</v>
      </c>
      <c r="AD593" s="29">
        <v>22000</v>
      </c>
      <c r="AE593" s="29">
        <v>11</v>
      </c>
      <c r="AF593" s="29">
        <v>0</v>
      </c>
      <c r="AG593" s="29">
        <v>0</v>
      </c>
      <c r="AH593" s="2" t="e">
        <v>#N/A</v>
      </c>
      <c r="AI593" s="2" t="e">
        <v>#N/A</v>
      </c>
      <c r="AJ593" s="2" t="s">
        <v>5</v>
      </c>
      <c r="AK593" s="2" t="s">
        <v>5</v>
      </c>
    </row>
    <row r="594" spans="3:37" ht="12.5">
      <c r="C594" s="2" t="str">
        <f ca="1"/>
        <v/>
      </c>
      <c r="D594" s="2" t="str">
        <v/>
      </c>
      <c r="E594" s="29" t="str">
        <v/>
      </c>
      <c r="F594" s="30" t="str">
        <v/>
      </c>
      <c r="G594" s="29" t="str">
        <v/>
      </c>
      <c r="H594" s="30" t="str">
        <v/>
      </c>
      <c r="I594" s="29" t="str">
        <v/>
      </c>
      <c r="J594" s="29" t="str">
        <v/>
      </c>
      <c r="K594" s="29" t="str">
        <v/>
      </c>
      <c r="L594" s="29" t="str">
        <v/>
      </c>
      <c r="M594" s="29" t="str">
        <v/>
      </c>
      <c r="N594" s="29" t="str">
        <v/>
      </c>
      <c r="O594" s="2" t="str">
        <f ca="1"/>
        <v/>
      </c>
      <c r="P594" s="2" t="str">
        <f ca="1"/>
        <v/>
      </c>
      <c r="Q594" s="2" t="s">
        <v>5</v>
      </c>
      <c r="R594" s="2" t="s">
        <v>5</v>
      </c>
      <c r="U594" s="2" t="s">
        <v>111</v>
      </c>
      <c r="V594" s="2" t="e">
        <v>#N/A</v>
      </c>
      <c r="W594" s="2">
        <v>10000</v>
      </c>
      <c r="X594" s="29">
        <v>0</v>
      </c>
      <c r="Y594" s="30">
        <v>0</v>
      </c>
      <c r="Z594" s="29">
        <v>10000</v>
      </c>
      <c r="AA594" s="30">
        <v>4</v>
      </c>
      <c r="AB594" s="29">
        <v>8000</v>
      </c>
      <c r="AC594" s="29">
        <v>4</v>
      </c>
      <c r="AD594" s="29">
        <v>4000</v>
      </c>
      <c r="AE594" s="29">
        <v>2</v>
      </c>
      <c r="AF594" s="29">
        <v>0</v>
      </c>
      <c r="AG594" s="29">
        <v>0</v>
      </c>
      <c r="AH594" s="2" t="e">
        <v>#N/A</v>
      </c>
      <c r="AI594" s="2" t="e">
        <v>#N/A</v>
      </c>
      <c r="AJ594" s="2" t="s">
        <v>5</v>
      </c>
      <c r="AK594" s="2" t="s">
        <v>5</v>
      </c>
    </row>
    <row r="595" spans="3:37" ht="12.5">
      <c r="C595" s="2" t="str">
        <f ca="1"/>
        <v/>
      </c>
      <c r="D595" s="2" t="str">
        <v/>
      </c>
      <c r="E595" s="29" t="str">
        <v/>
      </c>
      <c r="F595" s="30" t="str">
        <v/>
      </c>
      <c r="G595" s="29" t="str">
        <v/>
      </c>
      <c r="H595" s="30" t="str">
        <v/>
      </c>
      <c r="I595" s="29" t="str">
        <v/>
      </c>
      <c r="J595" s="29" t="str">
        <v/>
      </c>
      <c r="K595" s="29" t="str">
        <v/>
      </c>
      <c r="L595" s="29" t="str">
        <v/>
      </c>
      <c r="M595" s="29" t="str">
        <v/>
      </c>
      <c r="N595" s="29" t="str">
        <v/>
      </c>
      <c r="O595" s="2" t="str">
        <f ca="1"/>
        <v/>
      </c>
      <c r="P595" s="2" t="str">
        <f ca="1"/>
        <v/>
      </c>
      <c r="Q595" s="2" t="s">
        <v>5</v>
      </c>
      <c r="R595" s="2" t="s">
        <v>5</v>
      </c>
      <c r="U595" s="2" t="s">
        <v>113</v>
      </c>
      <c r="V595" s="2" t="e">
        <v>#N/A</v>
      </c>
      <c r="W595" s="2">
        <v>2500</v>
      </c>
      <c r="X595" s="29">
        <v>0</v>
      </c>
      <c r="Y595" s="30">
        <v>0</v>
      </c>
      <c r="Z595" s="29">
        <v>2500</v>
      </c>
      <c r="AA595" s="30">
        <v>1</v>
      </c>
      <c r="AB595" s="29">
        <v>0</v>
      </c>
      <c r="AC595" s="29">
        <v>0</v>
      </c>
      <c r="AD595" s="29">
        <v>2000</v>
      </c>
      <c r="AE595" s="29">
        <v>1</v>
      </c>
      <c r="AF595" s="29">
        <v>0</v>
      </c>
      <c r="AG595" s="29">
        <v>0</v>
      </c>
      <c r="AH595" s="2" t="e">
        <v>#N/A</v>
      </c>
      <c r="AI595" s="2" t="e">
        <v>#N/A</v>
      </c>
      <c r="AJ595" s="2" t="s">
        <v>5</v>
      </c>
      <c r="AK595" s="2" t="s">
        <v>5</v>
      </c>
    </row>
    <row r="596" spans="3:37" ht="12.5">
      <c r="C596" s="2" t="str">
        <f ca="1"/>
        <v/>
      </c>
      <c r="D596" s="2" t="str">
        <v/>
      </c>
      <c r="E596" s="29" t="str">
        <v/>
      </c>
      <c r="F596" s="30" t="str">
        <v/>
      </c>
      <c r="G596" s="29" t="str">
        <v/>
      </c>
      <c r="H596" s="30" t="str">
        <v/>
      </c>
      <c r="I596" s="29" t="str">
        <v/>
      </c>
      <c r="J596" s="29" t="str">
        <v/>
      </c>
      <c r="K596" s="29" t="str">
        <v/>
      </c>
      <c r="L596" s="29" t="str">
        <v/>
      </c>
      <c r="M596" s="29" t="str">
        <v/>
      </c>
      <c r="N596" s="29" t="str">
        <v/>
      </c>
      <c r="O596" s="2" t="str">
        <f ca="1"/>
        <v/>
      </c>
      <c r="P596" s="2" t="str">
        <f ca="1"/>
        <v/>
      </c>
      <c r="Q596" s="2" t="s">
        <v>5</v>
      </c>
      <c r="R596" s="2" t="s">
        <v>5</v>
      </c>
      <c r="U596" s="2" t="s">
        <v>115</v>
      </c>
      <c r="V596" s="2" t="e">
        <v>#N/A</v>
      </c>
      <c r="W596" s="2">
        <v>5000</v>
      </c>
      <c r="X596" s="29">
        <v>0</v>
      </c>
      <c r="Y596" s="30">
        <v>0</v>
      </c>
      <c r="Z596" s="29">
        <v>5000</v>
      </c>
      <c r="AA596" s="30">
        <v>2</v>
      </c>
      <c r="AB596" s="29">
        <v>4000</v>
      </c>
      <c r="AC596" s="29">
        <v>2</v>
      </c>
      <c r="AD596" s="29">
        <v>12000</v>
      </c>
      <c r="AE596" s="29">
        <v>6</v>
      </c>
      <c r="AF596" s="29">
        <v>0</v>
      </c>
      <c r="AG596" s="29">
        <v>0</v>
      </c>
      <c r="AH596" s="2" t="e">
        <v>#N/A</v>
      </c>
      <c r="AI596" s="2" t="e">
        <v>#N/A</v>
      </c>
      <c r="AJ596" s="2" t="s">
        <v>5</v>
      </c>
      <c r="AK596" s="2" t="s">
        <v>5</v>
      </c>
    </row>
    <row r="597" spans="3:37" ht="12.5">
      <c r="C597" s="2" t="str">
        <f ca="1"/>
        <v/>
      </c>
      <c r="D597" s="2" t="str">
        <v/>
      </c>
      <c r="E597" s="29" t="str">
        <v/>
      </c>
      <c r="F597" s="30" t="str">
        <v/>
      </c>
      <c r="G597" s="29" t="str">
        <v/>
      </c>
      <c r="H597" s="30" t="str">
        <v/>
      </c>
      <c r="I597" s="29" t="str">
        <v/>
      </c>
      <c r="J597" s="29" t="str">
        <v/>
      </c>
      <c r="K597" s="29" t="str">
        <v/>
      </c>
      <c r="L597" s="29" t="str">
        <v/>
      </c>
      <c r="M597" s="29" t="str">
        <v/>
      </c>
      <c r="N597" s="29" t="str">
        <v/>
      </c>
      <c r="O597" s="2" t="str">
        <f ca="1"/>
        <v/>
      </c>
      <c r="P597" s="2" t="str">
        <f ca="1"/>
        <v/>
      </c>
      <c r="Q597" s="2" t="s">
        <v>5</v>
      </c>
      <c r="R597" s="2" t="s">
        <v>5</v>
      </c>
      <c r="U597" s="2" t="s">
        <v>116</v>
      </c>
      <c r="V597" s="2" t="e">
        <v>#N/A</v>
      </c>
      <c r="W597" s="2">
        <v>2500</v>
      </c>
      <c r="X597" s="29">
        <v>0</v>
      </c>
      <c r="Y597" s="30">
        <v>0</v>
      </c>
      <c r="Z597" s="29">
        <v>2500</v>
      </c>
      <c r="AA597" s="30">
        <v>1</v>
      </c>
      <c r="AB597" s="29">
        <v>0</v>
      </c>
      <c r="AC597" s="29">
        <v>0</v>
      </c>
      <c r="AD597" s="29">
        <v>4000</v>
      </c>
      <c r="AE597" s="29">
        <v>2</v>
      </c>
      <c r="AF597" s="29">
        <v>0</v>
      </c>
      <c r="AG597" s="29">
        <v>0</v>
      </c>
      <c r="AH597" s="2" t="e">
        <v>#N/A</v>
      </c>
      <c r="AI597" s="2" t="e">
        <v>#N/A</v>
      </c>
      <c r="AJ597" s="2" t="s">
        <v>5</v>
      </c>
      <c r="AK597" s="2" t="s">
        <v>5</v>
      </c>
    </row>
    <row r="598" spans="3:37" ht="12.5">
      <c r="C598" s="2" t="str">
        <f ca="1"/>
        <v/>
      </c>
      <c r="D598" s="2" t="str">
        <v/>
      </c>
      <c r="E598" s="29" t="str">
        <v/>
      </c>
      <c r="F598" s="30" t="str">
        <v/>
      </c>
      <c r="G598" s="29" t="str">
        <v/>
      </c>
      <c r="H598" s="30" t="str">
        <v/>
      </c>
      <c r="I598" s="29" t="str">
        <v/>
      </c>
      <c r="J598" s="29" t="str">
        <v/>
      </c>
      <c r="K598" s="29" t="str">
        <v/>
      </c>
      <c r="L598" s="29" t="str">
        <v/>
      </c>
      <c r="M598" s="29" t="str">
        <v/>
      </c>
      <c r="N598" s="29" t="str">
        <v/>
      </c>
      <c r="O598" s="2" t="str">
        <f ca="1"/>
        <v/>
      </c>
      <c r="P598" s="2" t="str">
        <f ca="1"/>
        <v/>
      </c>
      <c r="Q598" s="2" t="s">
        <v>5</v>
      </c>
      <c r="R598" s="2" t="s">
        <v>5</v>
      </c>
      <c r="U598" s="2" t="s">
        <v>118</v>
      </c>
      <c r="V598" s="2" t="e">
        <v>#N/A</v>
      </c>
      <c r="W598" s="2">
        <v>5000</v>
      </c>
      <c r="X598" s="29">
        <v>0</v>
      </c>
      <c r="Y598" s="30">
        <v>0</v>
      </c>
      <c r="Z598" s="29">
        <v>5000</v>
      </c>
      <c r="AA598" s="30">
        <v>2</v>
      </c>
      <c r="AB598" s="29">
        <v>4000</v>
      </c>
      <c r="AC598" s="29">
        <v>2</v>
      </c>
      <c r="AD598" s="29">
        <v>2000</v>
      </c>
      <c r="AE598" s="29">
        <v>1</v>
      </c>
      <c r="AF598" s="29">
        <v>0</v>
      </c>
      <c r="AG598" s="29">
        <v>0</v>
      </c>
      <c r="AH598" s="2" t="e">
        <v>#N/A</v>
      </c>
      <c r="AI598" s="2" t="e">
        <v>#N/A</v>
      </c>
      <c r="AJ598" s="2" t="s">
        <v>5</v>
      </c>
      <c r="AK598" s="2" t="s">
        <v>5</v>
      </c>
    </row>
    <row r="599" spans="3:37" ht="12.5">
      <c r="C599" s="2" t="str">
        <f ca="1"/>
        <v/>
      </c>
      <c r="D599" s="2" t="str">
        <v/>
      </c>
      <c r="E599" s="29" t="str">
        <v/>
      </c>
      <c r="F599" s="30" t="str">
        <v/>
      </c>
      <c r="G599" s="29" t="str">
        <v/>
      </c>
      <c r="H599" s="30" t="str">
        <v/>
      </c>
      <c r="I599" s="29" t="str">
        <v/>
      </c>
      <c r="J599" s="29" t="str">
        <v/>
      </c>
      <c r="K599" s="29" t="str">
        <v/>
      </c>
      <c r="L599" s="29" t="str">
        <v/>
      </c>
      <c r="M599" s="29" t="str">
        <v/>
      </c>
      <c r="N599" s="29" t="str">
        <v/>
      </c>
      <c r="O599" s="2" t="str">
        <f ca="1"/>
        <v/>
      </c>
      <c r="P599" s="2" t="str">
        <f ca="1"/>
        <v/>
      </c>
      <c r="Q599" s="2" t="s">
        <v>5</v>
      </c>
      <c r="R599" s="2" t="s">
        <v>5</v>
      </c>
      <c r="U599" s="2" t="s">
        <v>120</v>
      </c>
      <c r="V599" s="2" t="e">
        <v>#N/A</v>
      </c>
      <c r="W599" s="2">
        <v>5000</v>
      </c>
      <c r="X599" s="29">
        <v>0</v>
      </c>
      <c r="Y599" s="30">
        <v>0</v>
      </c>
      <c r="Z599" s="29">
        <v>5000</v>
      </c>
      <c r="AA599" s="30">
        <v>2</v>
      </c>
      <c r="AB599" s="29">
        <v>4000</v>
      </c>
      <c r="AC599" s="29">
        <v>2</v>
      </c>
      <c r="AD599" s="29">
        <v>12000</v>
      </c>
      <c r="AE599" s="29">
        <v>6</v>
      </c>
      <c r="AF599" s="29">
        <v>0</v>
      </c>
      <c r="AG599" s="29">
        <v>0</v>
      </c>
      <c r="AH599" s="2" t="e">
        <v>#N/A</v>
      </c>
      <c r="AI599" s="2" t="e">
        <v>#N/A</v>
      </c>
      <c r="AJ599" s="2" t="s">
        <v>5</v>
      </c>
      <c r="AK599" s="2" t="s">
        <v>5</v>
      </c>
    </row>
    <row r="600" spans="3:37" ht="12.5">
      <c r="C600" s="2" t="str">
        <f ca="1"/>
        <v/>
      </c>
      <c r="D600" s="2" t="str">
        <v/>
      </c>
      <c r="E600" s="29" t="str">
        <v/>
      </c>
      <c r="F600" s="30" t="str">
        <v/>
      </c>
      <c r="G600" s="29" t="str">
        <v/>
      </c>
      <c r="H600" s="30" t="str">
        <v/>
      </c>
      <c r="I600" s="29" t="str">
        <v/>
      </c>
      <c r="J600" s="29" t="str">
        <v/>
      </c>
      <c r="K600" s="29" t="str">
        <v/>
      </c>
      <c r="L600" s="29" t="str">
        <v/>
      </c>
      <c r="M600" s="29" t="str">
        <v/>
      </c>
      <c r="N600" s="29" t="str">
        <v/>
      </c>
      <c r="O600" s="2" t="str">
        <f ca="1"/>
        <v/>
      </c>
      <c r="P600" s="2" t="str">
        <f ca="1"/>
        <v/>
      </c>
      <c r="Q600" s="2" t="s">
        <v>5</v>
      </c>
      <c r="R600" s="2" t="s">
        <v>5</v>
      </c>
      <c r="U600" s="2" t="s">
        <v>121</v>
      </c>
      <c r="V600" s="2" t="e">
        <v>#N/A</v>
      </c>
      <c r="W600" s="2">
        <v>2500</v>
      </c>
      <c r="X600" s="29">
        <v>0</v>
      </c>
      <c r="Y600" s="30">
        <v>0</v>
      </c>
      <c r="Z600" s="29">
        <v>2500</v>
      </c>
      <c r="AA600" s="30">
        <v>1</v>
      </c>
      <c r="AB600" s="29">
        <v>4000</v>
      </c>
      <c r="AC600" s="29">
        <v>2</v>
      </c>
      <c r="AD600" s="29">
        <v>2000</v>
      </c>
      <c r="AE600" s="29">
        <v>1</v>
      </c>
      <c r="AF600" s="29">
        <v>0</v>
      </c>
      <c r="AG600" s="29">
        <v>0</v>
      </c>
      <c r="AH600" s="2" t="e">
        <v>#N/A</v>
      </c>
      <c r="AI600" s="2" t="e">
        <v>#N/A</v>
      </c>
      <c r="AJ600" s="2" t="s">
        <v>5</v>
      </c>
      <c r="AK600" s="2" t="s">
        <v>5</v>
      </c>
    </row>
    <row r="601" spans="3:37" ht="12.5">
      <c r="C601" s="2" t="str">
        <f ca="1"/>
        <v/>
      </c>
      <c r="D601" s="2" t="str">
        <v/>
      </c>
      <c r="E601" s="29" t="str">
        <v/>
      </c>
      <c r="F601" s="30" t="str">
        <v/>
      </c>
      <c r="G601" s="29" t="str">
        <v/>
      </c>
      <c r="H601" s="30" t="str">
        <v/>
      </c>
      <c r="I601" s="29" t="str">
        <v/>
      </c>
      <c r="J601" s="29" t="str">
        <v/>
      </c>
      <c r="K601" s="29" t="str">
        <v/>
      </c>
      <c r="L601" s="29" t="str">
        <v/>
      </c>
      <c r="M601" s="29" t="str">
        <v/>
      </c>
      <c r="N601" s="29" t="str">
        <v/>
      </c>
      <c r="O601" s="2" t="str">
        <f ca="1"/>
        <v/>
      </c>
      <c r="P601" s="2" t="str">
        <f ca="1"/>
        <v/>
      </c>
      <c r="Q601" s="2" t="s">
        <v>5</v>
      </c>
      <c r="R601" s="2" t="s">
        <v>5</v>
      </c>
      <c r="U601" s="2" t="s">
        <v>123</v>
      </c>
      <c r="V601" s="2" t="e">
        <v>#N/A</v>
      </c>
      <c r="W601" s="2">
        <v>2500</v>
      </c>
      <c r="X601" s="29">
        <v>0</v>
      </c>
      <c r="Y601" s="30">
        <v>0</v>
      </c>
      <c r="Z601" s="29">
        <v>2500</v>
      </c>
      <c r="AA601" s="30">
        <v>1</v>
      </c>
      <c r="AB601" s="29">
        <v>2000</v>
      </c>
      <c r="AC601" s="29">
        <v>1</v>
      </c>
      <c r="AD601" s="29">
        <v>2000</v>
      </c>
      <c r="AE601" s="29">
        <v>1</v>
      </c>
      <c r="AF601" s="29">
        <v>0</v>
      </c>
      <c r="AG601" s="29">
        <v>0</v>
      </c>
      <c r="AH601" s="2" t="e">
        <v>#N/A</v>
      </c>
      <c r="AI601" s="2" t="e">
        <v>#N/A</v>
      </c>
      <c r="AJ601" s="2" t="s">
        <v>5</v>
      </c>
      <c r="AK601" s="2" t="s">
        <v>5</v>
      </c>
    </row>
    <row r="602" spans="3:37" ht="12.5">
      <c r="C602" s="2" t="str">
        <f ca="1"/>
        <v/>
      </c>
      <c r="D602" s="2" t="str">
        <v/>
      </c>
      <c r="E602" s="29" t="str">
        <v/>
      </c>
      <c r="F602" s="30" t="str">
        <v/>
      </c>
      <c r="G602" s="29" t="str">
        <v/>
      </c>
      <c r="H602" s="30" t="str">
        <v/>
      </c>
      <c r="I602" s="29" t="str">
        <v/>
      </c>
      <c r="J602" s="29" t="str">
        <v/>
      </c>
      <c r="K602" s="29" t="str">
        <v/>
      </c>
      <c r="L602" s="29" t="str">
        <v/>
      </c>
      <c r="M602" s="29" t="str">
        <v/>
      </c>
      <c r="N602" s="29" t="str">
        <v/>
      </c>
      <c r="O602" s="2" t="str">
        <f ca="1"/>
        <v/>
      </c>
      <c r="P602" s="2" t="str">
        <f ca="1"/>
        <v/>
      </c>
      <c r="Q602" s="2" t="s">
        <v>5</v>
      </c>
      <c r="R602" s="2" t="s">
        <v>5</v>
      </c>
      <c r="U602" s="2" t="s">
        <v>124</v>
      </c>
      <c r="V602" s="2" t="e">
        <v>#N/A</v>
      </c>
      <c r="W602" s="2">
        <v>2500</v>
      </c>
      <c r="X602" s="29">
        <v>0</v>
      </c>
      <c r="Y602" s="30">
        <v>0</v>
      </c>
      <c r="Z602" s="29">
        <v>2500</v>
      </c>
      <c r="AA602" s="30">
        <v>1</v>
      </c>
      <c r="AB602" s="29">
        <v>2000</v>
      </c>
      <c r="AC602" s="29">
        <v>1</v>
      </c>
      <c r="AD602" s="29">
        <v>0</v>
      </c>
      <c r="AE602" s="29">
        <v>0</v>
      </c>
      <c r="AF602" s="29">
        <v>0</v>
      </c>
      <c r="AG602" s="29">
        <v>0</v>
      </c>
      <c r="AH602" s="2" t="e">
        <v>#N/A</v>
      </c>
      <c r="AI602" s="2" t="e">
        <v>#N/A</v>
      </c>
      <c r="AJ602" s="2" t="s">
        <v>5</v>
      </c>
      <c r="AK602" s="2" t="s">
        <v>5</v>
      </c>
    </row>
    <row r="603" spans="3:37" ht="12.5">
      <c r="C603" s="2" t="str">
        <f ca="1"/>
        <v/>
      </c>
      <c r="D603" s="2" t="str">
        <v/>
      </c>
      <c r="E603" s="29" t="str">
        <v/>
      </c>
      <c r="F603" s="30" t="str">
        <v/>
      </c>
      <c r="G603" s="29" t="str">
        <v/>
      </c>
      <c r="H603" s="30" t="str">
        <v/>
      </c>
      <c r="I603" s="29" t="str">
        <v/>
      </c>
      <c r="J603" s="29" t="str">
        <v/>
      </c>
      <c r="K603" s="29" t="str">
        <v/>
      </c>
      <c r="L603" s="29" t="str">
        <v/>
      </c>
      <c r="M603" s="29" t="str">
        <v/>
      </c>
      <c r="N603" s="29" t="str">
        <v/>
      </c>
      <c r="O603" s="2" t="str">
        <f ca="1"/>
        <v/>
      </c>
      <c r="P603" s="2" t="str">
        <f ca="1"/>
        <v/>
      </c>
      <c r="Q603" s="2" t="s">
        <v>5</v>
      </c>
      <c r="R603" s="2" t="s">
        <v>5</v>
      </c>
      <c r="U603" s="2" t="s">
        <v>125</v>
      </c>
      <c r="V603" s="2" t="e">
        <v>#N/A</v>
      </c>
      <c r="W603" s="2">
        <v>2500</v>
      </c>
      <c r="X603" s="29">
        <v>0</v>
      </c>
      <c r="Y603" s="30">
        <v>0</v>
      </c>
      <c r="Z603" s="29">
        <v>2500</v>
      </c>
      <c r="AA603" s="30">
        <v>1</v>
      </c>
      <c r="AB603" s="29">
        <v>6000</v>
      </c>
      <c r="AC603" s="29">
        <v>3</v>
      </c>
      <c r="AD603" s="29">
        <v>10000</v>
      </c>
      <c r="AE603" s="29">
        <v>5</v>
      </c>
      <c r="AF603" s="29">
        <v>0</v>
      </c>
      <c r="AG603" s="29">
        <v>0</v>
      </c>
      <c r="AH603" s="2" t="e">
        <v>#N/A</v>
      </c>
      <c r="AI603" s="2" t="e">
        <v>#N/A</v>
      </c>
      <c r="AJ603" s="2" t="s">
        <v>5</v>
      </c>
      <c r="AK603" s="2" t="s">
        <v>5</v>
      </c>
    </row>
    <row r="604" spans="3:37" ht="12.5">
      <c r="C604" s="2" t="str">
        <f ca="1"/>
        <v/>
      </c>
      <c r="D604" s="2" t="str">
        <v/>
      </c>
      <c r="E604" s="29" t="str">
        <v/>
      </c>
      <c r="F604" s="30" t="str">
        <v/>
      </c>
      <c r="G604" s="29" t="str">
        <v/>
      </c>
      <c r="H604" s="30" t="str">
        <v/>
      </c>
      <c r="I604" s="29" t="str">
        <v/>
      </c>
      <c r="J604" s="29" t="str">
        <v/>
      </c>
      <c r="K604" s="29" t="str">
        <v/>
      </c>
      <c r="L604" s="29" t="str">
        <v/>
      </c>
      <c r="M604" s="29" t="str">
        <v/>
      </c>
      <c r="N604" s="29" t="str">
        <v/>
      </c>
      <c r="O604" s="2" t="str">
        <f ca="1"/>
        <v/>
      </c>
      <c r="P604" s="2" t="str">
        <f ca="1"/>
        <v/>
      </c>
      <c r="Q604" s="2" t="s">
        <v>5</v>
      </c>
      <c r="R604" s="2" t="s">
        <v>5</v>
      </c>
      <c r="U604" s="2" t="s">
        <v>126</v>
      </c>
      <c r="V604" s="2" t="e">
        <v>#N/A</v>
      </c>
      <c r="W604" s="2">
        <v>2500</v>
      </c>
      <c r="X604" s="29">
        <v>0</v>
      </c>
      <c r="Y604" s="30">
        <v>0</v>
      </c>
      <c r="Z604" s="29">
        <v>2500</v>
      </c>
      <c r="AA604" s="30">
        <v>1</v>
      </c>
      <c r="AB604" s="29">
        <v>0</v>
      </c>
      <c r="AC604" s="29">
        <v>0</v>
      </c>
      <c r="AD604" s="29">
        <v>0</v>
      </c>
      <c r="AE604" s="29">
        <v>0</v>
      </c>
      <c r="AF604" s="29">
        <v>0</v>
      </c>
      <c r="AG604" s="29">
        <v>0</v>
      </c>
      <c r="AH604" s="2" t="e">
        <v>#N/A</v>
      </c>
      <c r="AI604" s="2" t="e">
        <v>#N/A</v>
      </c>
      <c r="AJ604" s="2" t="s">
        <v>5</v>
      </c>
      <c r="AK604" s="2" t="s">
        <v>5</v>
      </c>
    </row>
    <row r="605" spans="3:37" ht="12.5">
      <c r="C605" s="2" t="str">
        <f ca="1"/>
        <v/>
      </c>
      <c r="D605" s="2" t="str">
        <v/>
      </c>
      <c r="E605" s="29" t="str">
        <v/>
      </c>
      <c r="F605" s="30" t="str">
        <v/>
      </c>
      <c r="G605" s="29" t="str">
        <v/>
      </c>
      <c r="H605" s="30" t="str">
        <v/>
      </c>
      <c r="I605" s="29" t="str">
        <v/>
      </c>
      <c r="J605" s="29" t="str">
        <v/>
      </c>
      <c r="K605" s="29" t="str">
        <v/>
      </c>
      <c r="L605" s="29" t="str">
        <v/>
      </c>
      <c r="M605" s="29" t="str">
        <v/>
      </c>
      <c r="N605" s="29" t="str">
        <v/>
      </c>
      <c r="O605" s="2" t="str">
        <f ca="1"/>
        <v/>
      </c>
      <c r="P605" s="2" t="str">
        <f ca="1"/>
        <v/>
      </c>
      <c r="Q605" s="2" t="s">
        <v>5</v>
      </c>
      <c r="R605" s="2" t="s">
        <v>5</v>
      </c>
      <c r="U605" s="2" t="s">
        <v>127</v>
      </c>
      <c r="V605" s="2" t="e">
        <v>#N/A</v>
      </c>
      <c r="W605" s="2">
        <v>2500</v>
      </c>
      <c r="X605" s="29">
        <v>0</v>
      </c>
      <c r="Y605" s="30">
        <v>0</v>
      </c>
      <c r="Z605" s="29">
        <v>2500</v>
      </c>
      <c r="AA605" s="30">
        <v>1</v>
      </c>
      <c r="AB605" s="29">
        <v>0</v>
      </c>
      <c r="AC605" s="29">
        <v>0</v>
      </c>
      <c r="AD605" s="29">
        <v>0</v>
      </c>
      <c r="AE605" s="29">
        <v>0</v>
      </c>
      <c r="AF605" s="29">
        <v>0</v>
      </c>
      <c r="AG605" s="29">
        <v>0</v>
      </c>
      <c r="AH605" s="2" t="e">
        <v>#N/A</v>
      </c>
      <c r="AI605" s="2" t="e">
        <v>#N/A</v>
      </c>
      <c r="AJ605" s="2" t="s">
        <v>5</v>
      </c>
      <c r="AK605" s="2" t="s">
        <v>5</v>
      </c>
    </row>
    <row r="606" spans="3:37" ht="12.5">
      <c r="C606" s="2" t="str">
        <f ca="1"/>
        <v/>
      </c>
      <c r="D606" s="2" t="str">
        <v/>
      </c>
      <c r="E606" s="29" t="str">
        <v/>
      </c>
      <c r="F606" s="30" t="str">
        <v/>
      </c>
      <c r="G606" s="29" t="str">
        <v/>
      </c>
      <c r="H606" s="30" t="str">
        <v/>
      </c>
      <c r="I606" s="29" t="str">
        <v/>
      </c>
      <c r="J606" s="29" t="str">
        <v/>
      </c>
      <c r="K606" s="29" t="str">
        <v/>
      </c>
      <c r="L606" s="29" t="str">
        <v/>
      </c>
      <c r="M606" s="29" t="str">
        <v/>
      </c>
      <c r="N606" s="29" t="str">
        <v/>
      </c>
      <c r="O606" s="2" t="str">
        <f ca="1"/>
        <v/>
      </c>
      <c r="P606" s="2" t="str">
        <f ca="1"/>
        <v/>
      </c>
      <c r="Q606" s="2" t="s">
        <v>5</v>
      </c>
      <c r="R606" s="2" t="s">
        <v>5</v>
      </c>
      <c r="U606" s="2" t="s">
        <v>128</v>
      </c>
      <c r="V606" s="2" t="e">
        <v>#N/A</v>
      </c>
      <c r="W606" s="2">
        <v>2500</v>
      </c>
      <c r="X606" s="29">
        <v>0</v>
      </c>
      <c r="Y606" s="30">
        <v>0</v>
      </c>
      <c r="Z606" s="29">
        <v>2500</v>
      </c>
      <c r="AA606" s="30">
        <v>1</v>
      </c>
      <c r="AB606" s="29">
        <v>0</v>
      </c>
      <c r="AC606" s="29">
        <v>0</v>
      </c>
      <c r="AD606" s="29">
        <v>0</v>
      </c>
      <c r="AE606" s="29">
        <v>0</v>
      </c>
      <c r="AF606" s="29">
        <v>0</v>
      </c>
      <c r="AG606" s="29">
        <v>0</v>
      </c>
      <c r="AH606" s="2" t="e">
        <v>#N/A</v>
      </c>
      <c r="AI606" s="2" t="e">
        <v>#N/A</v>
      </c>
      <c r="AJ606" s="2" t="s">
        <v>5</v>
      </c>
      <c r="AK606" s="2" t="s">
        <v>5</v>
      </c>
    </row>
    <row r="607" spans="3:37" ht="12.5">
      <c r="C607" s="2" t="str">
        <f ca="1"/>
        <v/>
      </c>
      <c r="D607" s="2" t="str">
        <v/>
      </c>
      <c r="E607" s="29" t="str">
        <v/>
      </c>
      <c r="F607" s="30" t="str">
        <v/>
      </c>
      <c r="G607" s="29" t="str">
        <v/>
      </c>
      <c r="H607" s="30" t="str">
        <v/>
      </c>
      <c r="I607" s="29" t="str">
        <v/>
      </c>
      <c r="J607" s="29" t="str">
        <v/>
      </c>
      <c r="K607" s="29" t="str">
        <v/>
      </c>
      <c r="L607" s="29" t="str">
        <v/>
      </c>
      <c r="M607" s="29" t="str">
        <v/>
      </c>
      <c r="N607" s="29" t="str">
        <v/>
      </c>
      <c r="O607" s="2" t="str">
        <f ca="1"/>
        <v/>
      </c>
      <c r="P607" s="2" t="str">
        <f ca="1"/>
        <v/>
      </c>
      <c r="Q607" s="2" t="s">
        <v>5</v>
      </c>
      <c r="R607" s="2" t="s">
        <v>5</v>
      </c>
      <c r="U607" s="2" t="s">
        <v>129</v>
      </c>
      <c r="V607" s="2" t="e">
        <v>#N/A</v>
      </c>
      <c r="W607" s="2">
        <v>2500</v>
      </c>
      <c r="X607" s="29">
        <v>0</v>
      </c>
      <c r="Y607" s="30">
        <v>0</v>
      </c>
      <c r="Z607" s="29">
        <v>2500</v>
      </c>
      <c r="AA607" s="30">
        <v>1</v>
      </c>
      <c r="AB607" s="29">
        <v>0</v>
      </c>
      <c r="AC607" s="29">
        <v>0</v>
      </c>
      <c r="AD607" s="29">
        <v>0</v>
      </c>
      <c r="AE607" s="29">
        <v>0</v>
      </c>
      <c r="AF607" s="29">
        <v>0</v>
      </c>
      <c r="AG607" s="29">
        <v>0</v>
      </c>
      <c r="AH607" s="2" t="e">
        <v>#N/A</v>
      </c>
      <c r="AI607" s="2" t="e">
        <v>#N/A</v>
      </c>
      <c r="AJ607" s="2" t="s">
        <v>5</v>
      </c>
      <c r="AK607" s="2" t="s">
        <v>5</v>
      </c>
    </row>
    <row r="608" spans="3:37" ht="12.5">
      <c r="C608" s="2" t="str">
        <f ca="1"/>
        <v/>
      </c>
      <c r="D608" s="2" t="str">
        <v/>
      </c>
      <c r="E608" s="29" t="str">
        <v/>
      </c>
      <c r="F608" s="30" t="str">
        <v/>
      </c>
      <c r="G608" s="29" t="str">
        <v/>
      </c>
      <c r="H608" s="30" t="str">
        <v/>
      </c>
      <c r="I608" s="29" t="str">
        <v/>
      </c>
      <c r="J608" s="29" t="str">
        <v/>
      </c>
      <c r="K608" s="29" t="str">
        <v/>
      </c>
      <c r="L608" s="29" t="str">
        <v/>
      </c>
      <c r="M608" s="29" t="str">
        <v/>
      </c>
      <c r="N608" s="29" t="str">
        <v/>
      </c>
      <c r="O608" s="2" t="str">
        <f ca="1"/>
        <v/>
      </c>
      <c r="P608" s="2" t="str">
        <f ca="1"/>
        <v/>
      </c>
      <c r="Q608" s="2" t="s">
        <v>5</v>
      </c>
      <c r="R608" s="2" t="s">
        <v>5</v>
      </c>
      <c r="U608" s="2" t="s">
        <v>130</v>
      </c>
      <c r="V608" s="2" t="e">
        <v>#N/A</v>
      </c>
      <c r="W608" s="2">
        <v>5000</v>
      </c>
      <c r="X608" s="29">
        <v>0</v>
      </c>
      <c r="Y608" s="30">
        <v>0</v>
      </c>
      <c r="Z608" s="29">
        <v>5000</v>
      </c>
      <c r="AA608" s="30">
        <v>2</v>
      </c>
      <c r="AB608" s="29">
        <v>6000</v>
      </c>
      <c r="AC608" s="29">
        <v>3</v>
      </c>
      <c r="AD608" s="29">
        <v>6000</v>
      </c>
      <c r="AE608" s="29">
        <v>3</v>
      </c>
      <c r="AF608" s="29">
        <v>0</v>
      </c>
      <c r="AG608" s="29">
        <v>0</v>
      </c>
      <c r="AH608" s="2" t="e">
        <v>#N/A</v>
      </c>
      <c r="AI608" s="2" t="e">
        <v>#N/A</v>
      </c>
      <c r="AJ608" s="2" t="s">
        <v>5</v>
      </c>
      <c r="AK608" s="2" t="s">
        <v>5</v>
      </c>
    </row>
    <row r="609" spans="3:37" ht="12.5">
      <c r="C609" s="2" t="str">
        <f ca="1"/>
        <v/>
      </c>
      <c r="D609" s="2" t="str">
        <v/>
      </c>
      <c r="E609" s="29" t="str">
        <v/>
      </c>
      <c r="F609" s="30" t="str">
        <v/>
      </c>
      <c r="G609" s="29" t="str">
        <v/>
      </c>
      <c r="H609" s="30" t="str">
        <v/>
      </c>
      <c r="I609" s="29" t="str">
        <v/>
      </c>
      <c r="J609" s="29" t="str">
        <v/>
      </c>
      <c r="K609" s="29" t="str">
        <v/>
      </c>
      <c r="L609" s="29" t="str">
        <v/>
      </c>
      <c r="M609" s="29" t="str">
        <v/>
      </c>
      <c r="N609" s="29" t="str">
        <v/>
      </c>
      <c r="O609" s="2" t="str">
        <f ca="1"/>
        <v/>
      </c>
      <c r="P609" s="2" t="str">
        <f ca="1"/>
        <v/>
      </c>
      <c r="Q609" s="2" t="s">
        <v>5</v>
      </c>
      <c r="R609" s="2" t="s">
        <v>5</v>
      </c>
      <c r="U609" s="2" t="s">
        <v>132</v>
      </c>
      <c r="V609" s="2" t="e">
        <v>#N/A</v>
      </c>
      <c r="W609" s="2">
        <v>2500</v>
      </c>
      <c r="X609" s="29">
        <v>0</v>
      </c>
      <c r="Y609" s="30">
        <v>0</v>
      </c>
      <c r="Z609" s="29">
        <v>2500</v>
      </c>
      <c r="AA609" s="30">
        <v>1</v>
      </c>
      <c r="AB609" s="29">
        <v>6000</v>
      </c>
      <c r="AC609" s="29">
        <v>3</v>
      </c>
      <c r="AD609" s="29">
        <v>2000</v>
      </c>
      <c r="AE609" s="29">
        <v>1</v>
      </c>
      <c r="AF609" s="29">
        <v>0</v>
      </c>
      <c r="AG609" s="29">
        <v>0</v>
      </c>
      <c r="AH609" s="2" t="e">
        <v>#N/A</v>
      </c>
      <c r="AI609" s="2" t="e">
        <v>#N/A</v>
      </c>
      <c r="AJ609" s="2" t="s">
        <v>5</v>
      </c>
      <c r="AK609" s="2" t="s">
        <v>5</v>
      </c>
    </row>
    <row r="610" spans="3:37" ht="12.5">
      <c r="C610" s="2" t="str">
        <f ca="1"/>
        <v/>
      </c>
      <c r="D610" s="2" t="str">
        <v/>
      </c>
      <c r="E610" s="29" t="str">
        <v/>
      </c>
      <c r="F610" s="30" t="str">
        <v/>
      </c>
      <c r="G610" s="29" t="str">
        <v/>
      </c>
      <c r="H610" s="30" t="str">
        <v/>
      </c>
      <c r="I610" s="29" t="str">
        <v/>
      </c>
      <c r="J610" s="29" t="str">
        <v/>
      </c>
      <c r="K610" s="29" t="str">
        <v/>
      </c>
      <c r="L610" s="29" t="str">
        <v/>
      </c>
      <c r="M610" s="29" t="str">
        <v/>
      </c>
      <c r="N610" s="29" t="str">
        <v/>
      </c>
      <c r="O610" s="2" t="str">
        <f ca="1"/>
        <v/>
      </c>
      <c r="P610" s="2" t="str">
        <f ca="1"/>
        <v/>
      </c>
      <c r="Q610" s="2" t="s">
        <v>5</v>
      </c>
      <c r="R610" s="2" t="s">
        <v>5</v>
      </c>
      <c r="U610" s="2" t="s">
        <v>133</v>
      </c>
      <c r="V610" s="2" t="e">
        <v>#N/A</v>
      </c>
      <c r="W610" s="2">
        <v>5000</v>
      </c>
      <c r="X610" s="29">
        <v>0</v>
      </c>
      <c r="Y610" s="30">
        <v>0</v>
      </c>
      <c r="Z610" s="29">
        <v>5000</v>
      </c>
      <c r="AA610" s="30">
        <v>2</v>
      </c>
      <c r="AB610" s="29">
        <v>16000</v>
      </c>
      <c r="AC610" s="29">
        <v>8</v>
      </c>
      <c r="AD610" s="29">
        <v>4000</v>
      </c>
      <c r="AE610" s="29">
        <v>2</v>
      </c>
      <c r="AF610" s="29">
        <v>0</v>
      </c>
      <c r="AG610" s="29">
        <v>0</v>
      </c>
      <c r="AH610" s="2" t="e">
        <v>#N/A</v>
      </c>
      <c r="AI610" s="2" t="e">
        <v>#N/A</v>
      </c>
      <c r="AJ610" s="2" t="s">
        <v>5</v>
      </c>
      <c r="AK610" s="2" t="s">
        <v>5</v>
      </c>
    </row>
    <row r="611" spans="3:37" ht="12.5">
      <c r="C611" s="2" t="str">
        <f ca="1"/>
        <v/>
      </c>
      <c r="D611" s="2" t="str">
        <v/>
      </c>
      <c r="E611" s="29" t="str">
        <v/>
      </c>
      <c r="F611" s="30" t="str">
        <v/>
      </c>
      <c r="G611" s="29" t="str">
        <v/>
      </c>
      <c r="H611" s="30" t="str">
        <v/>
      </c>
      <c r="I611" s="29" t="str">
        <v/>
      </c>
      <c r="J611" s="29" t="str">
        <v/>
      </c>
      <c r="K611" s="29" t="str">
        <v/>
      </c>
      <c r="L611" s="29" t="str">
        <v/>
      </c>
      <c r="M611" s="29" t="str">
        <v/>
      </c>
      <c r="N611" s="29" t="str">
        <v/>
      </c>
      <c r="O611" s="2" t="str">
        <f ca="1"/>
        <v/>
      </c>
      <c r="P611" s="2" t="str">
        <f ca="1"/>
        <v/>
      </c>
      <c r="Q611" s="2" t="s">
        <v>5</v>
      </c>
      <c r="R611" s="2" t="s">
        <v>5</v>
      </c>
      <c r="U611" s="2" t="s">
        <v>134</v>
      </c>
      <c r="V611" s="2" t="e">
        <v>#N/A</v>
      </c>
      <c r="W611" s="2">
        <v>2500</v>
      </c>
      <c r="X611" s="29">
        <v>0</v>
      </c>
      <c r="Y611" s="30">
        <v>0</v>
      </c>
      <c r="Z611" s="29">
        <v>2500</v>
      </c>
      <c r="AA611" s="30">
        <v>1</v>
      </c>
      <c r="AB611" s="29">
        <v>4000</v>
      </c>
      <c r="AC611" s="29">
        <v>2</v>
      </c>
      <c r="AD611" s="29">
        <v>6000</v>
      </c>
      <c r="AE611" s="29">
        <v>3</v>
      </c>
      <c r="AF611" s="29">
        <v>0</v>
      </c>
      <c r="AG611" s="29">
        <v>0</v>
      </c>
      <c r="AH611" s="2" t="e">
        <v>#N/A</v>
      </c>
      <c r="AI611" s="2" t="e">
        <v>#N/A</v>
      </c>
      <c r="AJ611" s="2" t="s">
        <v>5</v>
      </c>
      <c r="AK611" s="2" t="s">
        <v>5</v>
      </c>
    </row>
    <row r="612" spans="3:37" ht="12.5">
      <c r="C612" s="2" t="str">
        <f ca="1"/>
        <v/>
      </c>
      <c r="D612" s="2" t="str">
        <v/>
      </c>
      <c r="E612" s="29" t="str">
        <v/>
      </c>
      <c r="F612" s="30" t="str">
        <v/>
      </c>
      <c r="G612" s="29" t="str">
        <v/>
      </c>
      <c r="H612" s="30" t="str">
        <v/>
      </c>
      <c r="I612" s="29" t="str">
        <v/>
      </c>
      <c r="J612" s="29" t="str">
        <v/>
      </c>
      <c r="K612" s="29" t="str">
        <v/>
      </c>
      <c r="L612" s="29" t="str">
        <v/>
      </c>
      <c r="M612" s="29" t="str">
        <v/>
      </c>
      <c r="N612" s="29" t="str">
        <v/>
      </c>
      <c r="O612" s="2" t="str">
        <f ca="1"/>
        <v/>
      </c>
      <c r="P612" s="2" t="str">
        <f ca="1"/>
        <v/>
      </c>
      <c r="Q612" s="2" t="s">
        <v>5</v>
      </c>
      <c r="R612" s="2" t="s">
        <v>5</v>
      </c>
      <c r="U612" s="2" t="s">
        <v>135</v>
      </c>
      <c r="V612" s="2" t="e">
        <v>#N/A</v>
      </c>
      <c r="W612" s="2">
        <v>5000</v>
      </c>
      <c r="X612" s="29">
        <v>0</v>
      </c>
      <c r="Y612" s="30">
        <v>0</v>
      </c>
      <c r="Z612" s="29">
        <v>5000</v>
      </c>
      <c r="AA612" s="30">
        <v>2</v>
      </c>
      <c r="AB612" s="29">
        <v>12000</v>
      </c>
      <c r="AC612" s="29">
        <v>6</v>
      </c>
      <c r="AD612" s="29">
        <v>6000</v>
      </c>
      <c r="AE612" s="29">
        <v>3</v>
      </c>
      <c r="AF612" s="29">
        <v>0</v>
      </c>
      <c r="AG612" s="29">
        <v>0</v>
      </c>
      <c r="AH612" s="2" t="e">
        <v>#N/A</v>
      </c>
      <c r="AI612" s="2" t="e">
        <v>#N/A</v>
      </c>
      <c r="AJ612" s="2" t="s">
        <v>5</v>
      </c>
      <c r="AK612" s="2" t="s">
        <v>5</v>
      </c>
    </row>
    <row r="613" spans="3:37" ht="12.5">
      <c r="C613" s="2" t="str">
        <f ca="1"/>
        <v/>
      </c>
      <c r="D613" s="2" t="str">
        <v/>
      </c>
      <c r="E613" s="29" t="str">
        <v/>
      </c>
      <c r="F613" s="30" t="str">
        <v/>
      </c>
      <c r="G613" s="29" t="str">
        <v/>
      </c>
      <c r="H613" s="30" t="str">
        <v/>
      </c>
      <c r="I613" s="29" t="str">
        <v/>
      </c>
      <c r="J613" s="29" t="str">
        <v/>
      </c>
      <c r="K613" s="29" t="str">
        <v/>
      </c>
      <c r="L613" s="29" t="str">
        <v/>
      </c>
      <c r="M613" s="29" t="str">
        <v/>
      </c>
      <c r="N613" s="29" t="str">
        <v/>
      </c>
      <c r="O613" s="2" t="str">
        <f ca="1"/>
        <v/>
      </c>
      <c r="P613" s="2" t="str">
        <f ca="1"/>
        <v/>
      </c>
      <c r="Q613" s="2" t="s">
        <v>5</v>
      </c>
      <c r="R613" s="2" t="s">
        <v>5</v>
      </c>
      <c r="U613" s="2" t="s">
        <v>136</v>
      </c>
      <c r="V613" s="2" t="e">
        <v>#N/A</v>
      </c>
      <c r="W613" s="2">
        <v>2500</v>
      </c>
      <c r="X613" s="29">
        <v>0</v>
      </c>
      <c r="Y613" s="30">
        <v>0</v>
      </c>
      <c r="Z613" s="29">
        <v>2500</v>
      </c>
      <c r="AA613" s="30">
        <v>1</v>
      </c>
      <c r="AB613" s="29">
        <v>16000</v>
      </c>
      <c r="AC613" s="29">
        <v>8</v>
      </c>
      <c r="AD613" s="29">
        <v>6000</v>
      </c>
      <c r="AE613" s="29">
        <v>3</v>
      </c>
      <c r="AF613" s="29">
        <v>0</v>
      </c>
      <c r="AG613" s="29">
        <v>0</v>
      </c>
      <c r="AH613" s="2" t="e">
        <v>#N/A</v>
      </c>
      <c r="AI613" s="2" t="e">
        <v>#N/A</v>
      </c>
      <c r="AJ613" s="2" t="s">
        <v>5</v>
      </c>
      <c r="AK613" s="2" t="s">
        <v>5</v>
      </c>
    </row>
    <row r="614" spans="3:37" ht="12.5">
      <c r="C614" s="2" t="str">
        <f ca="1"/>
        <v/>
      </c>
      <c r="D614" s="2" t="str">
        <v/>
      </c>
      <c r="E614" s="29" t="str">
        <v/>
      </c>
      <c r="F614" s="30" t="str">
        <v/>
      </c>
      <c r="G614" s="29" t="str">
        <v/>
      </c>
      <c r="H614" s="30" t="str">
        <v/>
      </c>
      <c r="I614" s="29" t="str">
        <v/>
      </c>
      <c r="J614" s="29" t="str">
        <v/>
      </c>
      <c r="K614" s="29" t="str">
        <v/>
      </c>
      <c r="L614" s="29" t="str">
        <v/>
      </c>
      <c r="M614" s="29" t="str">
        <v/>
      </c>
      <c r="N614" s="29" t="str">
        <v/>
      </c>
      <c r="O614" s="2" t="str">
        <f ca="1"/>
        <v/>
      </c>
      <c r="P614" s="2" t="str">
        <f ca="1"/>
        <v/>
      </c>
      <c r="Q614" s="2" t="s">
        <v>5</v>
      </c>
      <c r="R614" s="2" t="s">
        <v>5</v>
      </c>
      <c r="U614" s="2" t="s">
        <v>138</v>
      </c>
      <c r="V614" s="2" t="e">
        <v>#N/A</v>
      </c>
      <c r="W614" s="2">
        <v>7500</v>
      </c>
      <c r="X614" s="29">
        <v>0</v>
      </c>
      <c r="Y614" s="30">
        <v>0</v>
      </c>
      <c r="Z614" s="29">
        <v>7500</v>
      </c>
      <c r="AA614" s="30">
        <v>3</v>
      </c>
      <c r="AB614" s="29">
        <v>6000</v>
      </c>
      <c r="AC614" s="29">
        <v>3</v>
      </c>
      <c r="AD614" s="29">
        <v>2000</v>
      </c>
      <c r="AE614" s="29">
        <v>1</v>
      </c>
      <c r="AF614" s="29">
        <v>0</v>
      </c>
      <c r="AG614" s="29">
        <v>0</v>
      </c>
      <c r="AH614" s="2" t="e">
        <v>#N/A</v>
      </c>
      <c r="AI614" s="2" t="e">
        <v>#N/A</v>
      </c>
      <c r="AJ614" s="2" t="s">
        <v>5</v>
      </c>
      <c r="AK614" s="2" t="s">
        <v>5</v>
      </c>
    </row>
    <row r="615" spans="3:37" ht="12.5">
      <c r="C615" s="2" t="str">
        <f ca="1"/>
        <v/>
      </c>
      <c r="D615" s="2" t="str">
        <v/>
      </c>
      <c r="E615" s="29" t="str">
        <v/>
      </c>
      <c r="F615" s="30" t="str">
        <v/>
      </c>
      <c r="G615" s="29" t="str">
        <v/>
      </c>
      <c r="H615" s="30" t="str">
        <v/>
      </c>
      <c r="I615" s="29" t="str">
        <v/>
      </c>
      <c r="J615" s="29" t="str">
        <v/>
      </c>
      <c r="K615" s="29" t="str">
        <v/>
      </c>
      <c r="L615" s="29" t="str">
        <v/>
      </c>
      <c r="M615" s="29" t="str">
        <v/>
      </c>
      <c r="N615" s="29" t="str">
        <v/>
      </c>
      <c r="O615" s="2" t="str">
        <f ca="1"/>
        <v/>
      </c>
      <c r="P615" s="2" t="str">
        <f ca="1"/>
        <v/>
      </c>
      <c r="Q615" s="2" t="s">
        <v>5</v>
      </c>
      <c r="R615" s="2" t="s">
        <v>5</v>
      </c>
      <c r="U615" s="2" t="s">
        <v>140</v>
      </c>
      <c r="V615" s="2" t="e">
        <v>#N/A</v>
      </c>
      <c r="W615" s="2">
        <v>2500</v>
      </c>
      <c r="X615" s="29">
        <v>0</v>
      </c>
      <c r="Y615" s="30">
        <v>0</v>
      </c>
      <c r="Z615" s="29">
        <v>2500</v>
      </c>
      <c r="AA615" s="30">
        <v>1</v>
      </c>
      <c r="AB615" s="29">
        <v>6000</v>
      </c>
      <c r="AC615" s="29">
        <v>3</v>
      </c>
      <c r="AD615" s="29">
        <v>10000</v>
      </c>
      <c r="AE615" s="29">
        <v>5</v>
      </c>
      <c r="AF615" s="29">
        <v>0</v>
      </c>
      <c r="AG615" s="29">
        <v>0</v>
      </c>
      <c r="AH615" s="2" t="e">
        <v>#N/A</v>
      </c>
      <c r="AI615" s="2" t="e">
        <v>#N/A</v>
      </c>
      <c r="AJ615" s="2" t="s">
        <v>5</v>
      </c>
      <c r="AK615" s="2" t="s">
        <v>5</v>
      </c>
    </row>
    <row r="616" spans="3:37" ht="12.5">
      <c r="C616" s="2" t="str">
        <f ca="1"/>
        <v/>
      </c>
      <c r="D616" s="2" t="str">
        <v/>
      </c>
      <c r="E616" s="29" t="str">
        <v/>
      </c>
      <c r="F616" s="30" t="str">
        <v/>
      </c>
      <c r="G616" s="29" t="str">
        <v/>
      </c>
      <c r="H616" s="30" t="str">
        <v/>
      </c>
      <c r="I616" s="29" t="str">
        <v/>
      </c>
      <c r="J616" s="29" t="str">
        <v/>
      </c>
      <c r="K616" s="29" t="str">
        <v/>
      </c>
      <c r="L616" s="29" t="str">
        <v/>
      </c>
      <c r="M616" s="29" t="str">
        <v/>
      </c>
      <c r="N616" s="29" t="str">
        <v/>
      </c>
      <c r="O616" s="2" t="str">
        <f ca="1"/>
        <v/>
      </c>
      <c r="P616" s="2" t="str">
        <f ca="1"/>
        <v/>
      </c>
      <c r="Q616" s="2" t="s">
        <v>5</v>
      </c>
      <c r="R616" s="2" t="s">
        <v>5</v>
      </c>
      <c r="U616" s="2" t="s">
        <v>141</v>
      </c>
      <c r="V616" s="2" t="e">
        <v>#N/A</v>
      </c>
      <c r="W616" s="2">
        <v>7500</v>
      </c>
      <c r="X616" s="29">
        <v>0</v>
      </c>
      <c r="Y616" s="30">
        <v>0</v>
      </c>
      <c r="Z616" s="29">
        <v>7500</v>
      </c>
      <c r="AA616" s="30">
        <v>3</v>
      </c>
      <c r="AB616" s="29">
        <v>16000</v>
      </c>
      <c r="AC616" s="29">
        <v>8</v>
      </c>
      <c r="AD616" s="29">
        <v>0</v>
      </c>
      <c r="AE616" s="29">
        <v>0</v>
      </c>
      <c r="AF616" s="29">
        <v>0</v>
      </c>
      <c r="AG616" s="29">
        <v>0</v>
      </c>
      <c r="AH616" s="2" t="e">
        <v>#N/A</v>
      </c>
      <c r="AI616" s="2" t="e">
        <v>#N/A</v>
      </c>
      <c r="AJ616" s="2" t="s">
        <v>5</v>
      </c>
      <c r="AK616" s="2" t="s">
        <v>5</v>
      </c>
    </row>
    <row r="617" spans="3:37" ht="12.5">
      <c r="C617" s="2" t="str">
        <f ca="1"/>
        <v/>
      </c>
      <c r="D617" s="2" t="str">
        <v/>
      </c>
      <c r="E617" s="29" t="str">
        <v/>
      </c>
      <c r="F617" s="30" t="str">
        <v/>
      </c>
      <c r="G617" s="29" t="str">
        <v/>
      </c>
      <c r="H617" s="30" t="str">
        <v/>
      </c>
      <c r="I617" s="29" t="str">
        <v/>
      </c>
      <c r="J617" s="29" t="str">
        <v/>
      </c>
      <c r="K617" s="29" t="str">
        <v/>
      </c>
      <c r="L617" s="29" t="str">
        <v/>
      </c>
      <c r="M617" s="29" t="str">
        <v/>
      </c>
      <c r="N617" s="29" t="str">
        <v/>
      </c>
      <c r="O617" s="2" t="str">
        <f ca="1"/>
        <v/>
      </c>
      <c r="P617" s="2" t="str">
        <f ca="1"/>
        <v/>
      </c>
      <c r="Q617" s="2" t="s">
        <v>5</v>
      </c>
      <c r="R617" s="2" t="s">
        <v>5</v>
      </c>
      <c r="U617" s="2" t="s">
        <v>143</v>
      </c>
      <c r="V617" s="2" t="e">
        <v>#N/A</v>
      </c>
      <c r="W617" s="2">
        <v>2500</v>
      </c>
      <c r="X617" s="29">
        <v>0</v>
      </c>
      <c r="Y617" s="30">
        <v>0</v>
      </c>
      <c r="Z617" s="29">
        <v>2500</v>
      </c>
      <c r="AA617" s="30">
        <v>1</v>
      </c>
      <c r="AB617" s="29">
        <v>4000</v>
      </c>
      <c r="AC617" s="29">
        <v>2</v>
      </c>
      <c r="AD617" s="29">
        <v>10000</v>
      </c>
      <c r="AE617" s="29">
        <v>5</v>
      </c>
      <c r="AF617" s="29">
        <v>0</v>
      </c>
      <c r="AG617" s="29">
        <v>0</v>
      </c>
      <c r="AH617" s="2" t="e">
        <v>#N/A</v>
      </c>
      <c r="AI617" s="2" t="e">
        <v>#N/A</v>
      </c>
      <c r="AJ617" s="2" t="s">
        <v>5</v>
      </c>
      <c r="AK617" s="2" t="s">
        <v>5</v>
      </c>
    </row>
    <row r="618" spans="3:37" ht="12.5">
      <c r="C618" s="2" t="str">
        <f ca="1"/>
        <v/>
      </c>
      <c r="D618" s="2" t="str">
        <v/>
      </c>
      <c r="E618" s="29" t="str">
        <v/>
      </c>
      <c r="F618" s="30" t="str">
        <v/>
      </c>
      <c r="G618" s="29" t="str">
        <v/>
      </c>
      <c r="H618" s="30" t="str">
        <v/>
      </c>
      <c r="I618" s="29" t="str">
        <v/>
      </c>
      <c r="J618" s="29" t="str">
        <v/>
      </c>
      <c r="K618" s="29" t="str">
        <v/>
      </c>
      <c r="L618" s="29" t="str">
        <v/>
      </c>
      <c r="M618" s="29" t="str">
        <v/>
      </c>
      <c r="N618" s="29" t="str">
        <v/>
      </c>
      <c r="O618" s="2" t="str">
        <f ca="1"/>
        <v/>
      </c>
      <c r="P618" s="2" t="str">
        <f ca="1"/>
        <v/>
      </c>
      <c r="Q618" s="2" t="s">
        <v>5</v>
      </c>
      <c r="R618" s="2" t="s">
        <v>5</v>
      </c>
      <c r="U618" s="2" t="s">
        <v>145</v>
      </c>
      <c r="V618" s="2" t="e">
        <v>#N/A</v>
      </c>
      <c r="W618" s="2">
        <v>5000</v>
      </c>
      <c r="X618" s="29">
        <v>0</v>
      </c>
      <c r="Y618" s="30">
        <v>0</v>
      </c>
      <c r="Z618" s="29">
        <v>5000</v>
      </c>
      <c r="AA618" s="30">
        <v>2</v>
      </c>
      <c r="AB618" s="29">
        <v>4000</v>
      </c>
      <c r="AC618" s="29">
        <v>2</v>
      </c>
      <c r="AD618" s="29">
        <v>18000</v>
      </c>
      <c r="AE618" s="29">
        <v>9</v>
      </c>
      <c r="AF618" s="29">
        <v>0</v>
      </c>
      <c r="AG618" s="29">
        <v>0</v>
      </c>
      <c r="AH618" s="2" t="e">
        <v>#N/A</v>
      </c>
      <c r="AI618" s="2" t="e">
        <v>#N/A</v>
      </c>
      <c r="AJ618" s="2" t="s">
        <v>5</v>
      </c>
      <c r="AK618" s="2" t="s">
        <v>5</v>
      </c>
    </row>
    <row r="619" spans="3:37" ht="12.5">
      <c r="C619" s="2" t="str">
        <f ca="1"/>
        <v/>
      </c>
      <c r="D619" s="2" t="str">
        <v/>
      </c>
      <c r="E619" s="29" t="str">
        <v/>
      </c>
      <c r="F619" s="30" t="str">
        <v/>
      </c>
      <c r="G619" s="29" t="str">
        <v/>
      </c>
      <c r="H619" s="30" t="str">
        <v/>
      </c>
      <c r="I619" s="29" t="str">
        <v/>
      </c>
      <c r="J619" s="29" t="str">
        <v/>
      </c>
      <c r="K619" s="29" t="str">
        <v/>
      </c>
      <c r="L619" s="29" t="str">
        <v/>
      </c>
      <c r="M619" s="29" t="str">
        <v/>
      </c>
      <c r="N619" s="29" t="str">
        <v/>
      </c>
      <c r="O619" s="2" t="str">
        <f ca="1"/>
        <v/>
      </c>
      <c r="P619" s="2" t="str">
        <f ca="1"/>
        <v/>
      </c>
      <c r="Q619" s="2" t="s">
        <v>5</v>
      </c>
      <c r="R619" s="2" t="s">
        <v>5</v>
      </c>
      <c r="U619" s="2" t="s">
        <v>146</v>
      </c>
      <c r="V619" s="2" t="e">
        <v>#N/A</v>
      </c>
      <c r="W619" s="2">
        <v>2500</v>
      </c>
      <c r="X619" s="29">
        <v>0</v>
      </c>
      <c r="Y619" s="30">
        <v>0</v>
      </c>
      <c r="Z619" s="29">
        <v>2500</v>
      </c>
      <c r="AA619" s="30">
        <v>1</v>
      </c>
      <c r="AB619" s="29">
        <v>8000</v>
      </c>
      <c r="AC619" s="29">
        <v>4</v>
      </c>
      <c r="AD619" s="29">
        <v>8000</v>
      </c>
      <c r="AE619" s="29">
        <v>4</v>
      </c>
      <c r="AF619" s="29">
        <v>0</v>
      </c>
      <c r="AG619" s="29">
        <v>0</v>
      </c>
      <c r="AH619" s="2" t="e">
        <v>#N/A</v>
      </c>
      <c r="AI619" s="2" t="e">
        <v>#N/A</v>
      </c>
      <c r="AJ619" s="2" t="s">
        <v>5</v>
      </c>
      <c r="AK619" s="2" t="s">
        <v>5</v>
      </c>
    </row>
    <row r="620" spans="3:37" ht="12.5">
      <c r="C620" s="2" t="str">
        <f ca="1"/>
        <v/>
      </c>
      <c r="D620" s="2" t="str">
        <v/>
      </c>
      <c r="E620" s="29" t="str">
        <v/>
      </c>
      <c r="F620" s="30" t="str">
        <v/>
      </c>
      <c r="G620" s="29" t="str">
        <v/>
      </c>
      <c r="H620" s="30" t="str">
        <v/>
      </c>
      <c r="I620" s="29" t="str">
        <v/>
      </c>
      <c r="J620" s="29" t="str">
        <v/>
      </c>
      <c r="K620" s="29" t="str">
        <v/>
      </c>
      <c r="L620" s="29" t="str">
        <v/>
      </c>
      <c r="M620" s="29" t="str">
        <v/>
      </c>
      <c r="N620" s="29" t="str">
        <v/>
      </c>
      <c r="O620" s="2" t="str">
        <f ca="1"/>
        <v/>
      </c>
      <c r="P620" s="2" t="str">
        <f ca="1"/>
        <v/>
      </c>
      <c r="Q620" s="2" t="s">
        <v>5</v>
      </c>
      <c r="R620" s="2" t="s">
        <v>5</v>
      </c>
      <c r="U620" s="2" t="s">
        <v>147</v>
      </c>
      <c r="V620" s="2" t="e">
        <v>#N/A</v>
      </c>
      <c r="W620" s="2">
        <v>7500</v>
      </c>
      <c r="X620" s="29">
        <v>0</v>
      </c>
      <c r="Y620" s="30">
        <v>0</v>
      </c>
      <c r="Z620" s="29">
        <v>7500</v>
      </c>
      <c r="AA620" s="30">
        <v>3</v>
      </c>
      <c r="AB620" s="29">
        <v>4000</v>
      </c>
      <c r="AC620" s="29">
        <v>2</v>
      </c>
      <c r="AD620" s="29">
        <v>2000</v>
      </c>
      <c r="AE620" s="29">
        <v>1</v>
      </c>
      <c r="AF620" s="29">
        <v>0</v>
      </c>
      <c r="AG620" s="29">
        <v>0</v>
      </c>
      <c r="AH620" s="2" t="e">
        <v>#N/A</v>
      </c>
      <c r="AI620" s="2" t="e">
        <v>#N/A</v>
      </c>
      <c r="AJ620" s="2" t="s">
        <v>5</v>
      </c>
      <c r="AK620" s="2" t="s">
        <v>5</v>
      </c>
    </row>
    <row r="621" spans="3:37" ht="12.5">
      <c r="C621" s="2" t="str">
        <f ca="1"/>
        <v/>
      </c>
      <c r="D621" s="2" t="str">
        <v/>
      </c>
      <c r="E621" s="29" t="str">
        <v/>
      </c>
      <c r="F621" s="30" t="str">
        <v/>
      </c>
      <c r="G621" s="29" t="str">
        <v/>
      </c>
      <c r="H621" s="30" t="str">
        <v/>
      </c>
      <c r="I621" s="29" t="str">
        <v/>
      </c>
      <c r="J621" s="29" t="str">
        <v/>
      </c>
      <c r="K621" s="29" t="str">
        <v/>
      </c>
      <c r="L621" s="29" t="str">
        <v/>
      </c>
      <c r="M621" s="29" t="str">
        <v/>
      </c>
      <c r="N621" s="29" t="str">
        <v/>
      </c>
      <c r="O621" s="2" t="str">
        <f ca="1"/>
        <v/>
      </c>
      <c r="P621" s="2" t="str">
        <f ca="1"/>
        <v/>
      </c>
      <c r="Q621" s="2" t="s">
        <v>5</v>
      </c>
      <c r="R621" s="2" t="s">
        <v>5</v>
      </c>
      <c r="U621" s="2" t="s">
        <v>148</v>
      </c>
      <c r="V621" s="2" t="e">
        <v>#N/A</v>
      </c>
      <c r="W621" s="2">
        <v>2500</v>
      </c>
      <c r="X621" s="29">
        <v>0</v>
      </c>
      <c r="Y621" s="30">
        <v>0</v>
      </c>
      <c r="Z621" s="29">
        <v>2500</v>
      </c>
      <c r="AA621" s="30">
        <v>1</v>
      </c>
      <c r="AB621" s="29">
        <v>0</v>
      </c>
      <c r="AC621" s="29">
        <v>0</v>
      </c>
      <c r="AD621" s="29">
        <v>0</v>
      </c>
      <c r="AE621" s="29">
        <v>0</v>
      </c>
      <c r="AF621" s="29">
        <v>0</v>
      </c>
      <c r="AG621" s="29">
        <v>0</v>
      </c>
      <c r="AH621" s="2" t="e">
        <v>#N/A</v>
      </c>
      <c r="AI621" s="2" t="e">
        <v>#N/A</v>
      </c>
      <c r="AJ621" s="2" t="s">
        <v>5</v>
      </c>
      <c r="AK621" s="2" t="s">
        <v>5</v>
      </c>
    </row>
    <row r="622" spans="3:37" ht="12.5">
      <c r="C622" s="2" t="str">
        <f ca="1"/>
        <v/>
      </c>
      <c r="D622" s="2" t="str">
        <v/>
      </c>
      <c r="E622" s="29" t="str">
        <v/>
      </c>
      <c r="F622" s="30" t="str">
        <v/>
      </c>
      <c r="G622" s="29" t="str">
        <v/>
      </c>
      <c r="H622" s="30" t="str">
        <v/>
      </c>
      <c r="I622" s="29" t="str">
        <v/>
      </c>
      <c r="J622" s="29" t="str">
        <v/>
      </c>
      <c r="K622" s="29" t="str">
        <v/>
      </c>
      <c r="L622" s="29" t="str">
        <v/>
      </c>
      <c r="M622" s="29" t="str">
        <v/>
      </c>
      <c r="N622" s="29" t="str">
        <v/>
      </c>
      <c r="O622" s="2" t="str">
        <f ca="1"/>
        <v/>
      </c>
      <c r="P622" s="2" t="str">
        <f ca="1"/>
        <v/>
      </c>
      <c r="Q622" s="2" t="s">
        <v>5</v>
      </c>
      <c r="R622" s="2" t="s">
        <v>5</v>
      </c>
      <c r="U622" s="2" t="s">
        <v>149</v>
      </c>
      <c r="V622" s="2" t="e">
        <v>#N/A</v>
      </c>
      <c r="W622" s="2">
        <v>2500</v>
      </c>
      <c r="X622" s="29">
        <v>0</v>
      </c>
      <c r="Y622" s="30">
        <v>0</v>
      </c>
      <c r="Z622" s="29">
        <v>2500</v>
      </c>
      <c r="AA622" s="30">
        <v>1</v>
      </c>
      <c r="AB622" s="29">
        <v>2000</v>
      </c>
      <c r="AC622" s="29">
        <v>1</v>
      </c>
      <c r="AD622" s="29">
        <v>2000</v>
      </c>
      <c r="AE622" s="29">
        <v>1</v>
      </c>
      <c r="AF622" s="29">
        <v>0</v>
      </c>
      <c r="AG622" s="29">
        <v>0</v>
      </c>
      <c r="AH622" s="2" t="e">
        <v>#N/A</v>
      </c>
      <c r="AI622" s="2" t="e">
        <v>#N/A</v>
      </c>
      <c r="AJ622" s="2" t="s">
        <v>5</v>
      </c>
      <c r="AK622" s="2" t="s">
        <v>5</v>
      </c>
    </row>
    <row r="623" spans="3:37" ht="12.5">
      <c r="C623" s="2" t="str">
        <f ca="1"/>
        <v/>
      </c>
      <c r="D623" s="2" t="str">
        <v/>
      </c>
      <c r="E623" s="29" t="str">
        <v/>
      </c>
      <c r="F623" s="30" t="str">
        <v/>
      </c>
      <c r="G623" s="29" t="str">
        <v/>
      </c>
      <c r="H623" s="30" t="str">
        <v/>
      </c>
      <c r="I623" s="29" t="str">
        <v/>
      </c>
      <c r="J623" s="29" t="str">
        <v/>
      </c>
      <c r="K623" s="29" t="str">
        <v/>
      </c>
      <c r="L623" s="29" t="str">
        <v/>
      </c>
      <c r="M623" s="29" t="str">
        <v/>
      </c>
      <c r="N623" s="29" t="str">
        <v/>
      </c>
      <c r="O623" s="2" t="str">
        <f ca="1"/>
        <v/>
      </c>
      <c r="P623" s="2" t="str">
        <f ca="1"/>
        <v/>
      </c>
      <c r="Q623" s="2" t="s">
        <v>5</v>
      </c>
      <c r="R623" s="2" t="s">
        <v>5</v>
      </c>
      <c r="U623" s="2" t="s">
        <v>150</v>
      </c>
      <c r="V623" s="2" t="e">
        <v>#N/A</v>
      </c>
      <c r="W623" s="2">
        <v>2500</v>
      </c>
      <c r="X623" s="29">
        <v>0</v>
      </c>
      <c r="Y623" s="30">
        <v>0</v>
      </c>
      <c r="Z623" s="29">
        <v>2500</v>
      </c>
      <c r="AA623" s="30">
        <v>1</v>
      </c>
      <c r="AB623" s="29">
        <v>0</v>
      </c>
      <c r="AC623" s="29">
        <v>0</v>
      </c>
      <c r="AD623" s="29">
        <v>0</v>
      </c>
      <c r="AE623" s="29">
        <v>0</v>
      </c>
      <c r="AF623" s="29">
        <v>0</v>
      </c>
      <c r="AG623" s="29">
        <v>0</v>
      </c>
      <c r="AH623" s="2" t="e">
        <v>#N/A</v>
      </c>
      <c r="AI623" s="2" t="e">
        <v>#N/A</v>
      </c>
      <c r="AJ623" s="2" t="s">
        <v>5</v>
      </c>
      <c r="AK623" s="2" t="s">
        <v>5</v>
      </c>
    </row>
    <row r="624" spans="3:37" ht="12.5">
      <c r="C624" s="2" t="str">
        <f ca="1"/>
        <v/>
      </c>
      <c r="D624" s="2" t="str">
        <v/>
      </c>
      <c r="E624" s="29" t="str">
        <v/>
      </c>
      <c r="F624" s="30" t="str">
        <v/>
      </c>
      <c r="G624" s="29" t="str">
        <v/>
      </c>
      <c r="H624" s="30" t="str">
        <v/>
      </c>
      <c r="I624" s="29" t="str">
        <v/>
      </c>
      <c r="J624" s="29" t="str">
        <v/>
      </c>
      <c r="K624" s="29" t="str">
        <v/>
      </c>
      <c r="L624" s="29" t="str">
        <v/>
      </c>
      <c r="M624" s="29" t="str">
        <v/>
      </c>
      <c r="N624" s="29" t="str">
        <v/>
      </c>
      <c r="O624" s="2" t="str">
        <f ca="1"/>
        <v/>
      </c>
      <c r="P624" s="2" t="str">
        <f ca="1"/>
        <v/>
      </c>
      <c r="Q624" s="2" t="s">
        <v>5</v>
      </c>
      <c r="R624" s="2" t="s">
        <v>5</v>
      </c>
      <c r="U624" s="2" t="s">
        <v>151</v>
      </c>
      <c r="V624" s="2" t="e">
        <v>#N/A</v>
      </c>
      <c r="W624" s="2">
        <v>2500</v>
      </c>
      <c r="X624" s="29">
        <v>0</v>
      </c>
      <c r="Y624" s="30">
        <v>0</v>
      </c>
      <c r="Z624" s="29">
        <v>2500</v>
      </c>
      <c r="AA624" s="30">
        <v>1</v>
      </c>
      <c r="AB624" s="29">
        <v>0</v>
      </c>
      <c r="AC624" s="29">
        <v>0</v>
      </c>
      <c r="AD624" s="29">
        <v>0</v>
      </c>
      <c r="AE624" s="29">
        <v>0</v>
      </c>
      <c r="AF624" s="29">
        <v>0</v>
      </c>
      <c r="AG624" s="29">
        <v>0</v>
      </c>
      <c r="AH624" s="2" t="e">
        <v>#N/A</v>
      </c>
      <c r="AI624" s="2" t="e">
        <v>#N/A</v>
      </c>
      <c r="AJ624" s="2" t="s">
        <v>5</v>
      </c>
      <c r="AK624" s="2" t="s">
        <v>5</v>
      </c>
    </row>
    <row r="625" spans="3:37" ht="12.5">
      <c r="C625" s="2" t="str">
        <f ca="1"/>
        <v/>
      </c>
      <c r="D625" s="2" t="str">
        <v/>
      </c>
      <c r="E625" s="29" t="str">
        <v/>
      </c>
      <c r="F625" s="30" t="str">
        <v/>
      </c>
      <c r="G625" s="29" t="str">
        <v/>
      </c>
      <c r="H625" s="30" t="str">
        <v/>
      </c>
      <c r="I625" s="29" t="str">
        <v/>
      </c>
      <c r="J625" s="29" t="str">
        <v/>
      </c>
      <c r="K625" s="29" t="str">
        <v/>
      </c>
      <c r="L625" s="29" t="str">
        <v/>
      </c>
      <c r="M625" s="29" t="str">
        <v/>
      </c>
      <c r="N625" s="29" t="str">
        <v/>
      </c>
      <c r="O625" s="2" t="str">
        <f ca="1"/>
        <v/>
      </c>
      <c r="P625" s="2" t="str">
        <f ca="1"/>
        <v/>
      </c>
      <c r="Q625" s="2" t="s">
        <v>5</v>
      </c>
      <c r="R625" s="2" t="s">
        <v>5</v>
      </c>
      <c r="U625" s="2" t="s">
        <v>153</v>
      </c>
      <c r="V625" s="2" t="e">
        <v>#N/A</v>
      </c>
      <c r="W625" s="2">
        <v>2500</v>
      </c>
      <c r="X625" s="29">
        <v>0</v>
      </c>
      <c r="Y625" s="30">
        <v>0</v>
      </c>
      <c r="Z625" s="29">
        <v>2500</v>
      </c>
      <c r="AA625" s="30">
        <v>1</v>
      </c>
      <c r="AB625" s="29">
        <v>0</v>
      </c>
      <c r="AC625" s="29">
        <v>0</v>
      </c>
      <c r="AD625" s="29">
        <v>0</v>
      </c>
      <c r="AE625" s="29">
        <v>0</v>
      </c>
      <c r="AF625" s="29">
        <v>0</v>
      </c>
      <c r="AG625" s="29">
        <v>0</v>
      </c>
      <c r="AH625" s="2" t="e">
        <v>#N/A</v>
      </c>
      <c r="AI625" s="2" t="e">
        <v>#N/A</v>
      </c>
      <c r="AJ625" s="2" t="s">
        <v>5</v>
      </c>
      <c r="AK625" s="2" t="s">
        <v>5</v>
      </c>
    </row>
    <row r="626" spans="3:37" ht="12.5">
      <c r="C626" s="2" t="str">
        <f ca="1"/>
        <v/>
      </c>
      <c r="D626" s="2" t="str">
        <v/>
      </c>
      <c r="E626" s="29" t="str">
        <v/>
      </c>
      <c r="F626" s="30" t="str">
        <v/>
      </c>
      <c r="G626" s="29" t="str">
        <v/>
      </c>
      <c r="H626" s="30" t="str">
        <v/>
      </c>
      <c r="I626" s="29" t="str">
        <v/>
      </c>
      <c r="J626" s="29" t="str">
        <v/>
      </c>
      <c r="K626" s="29" t="str">
        <v/>
      </c>
      <c r="L626" s="29" t="str">
        <v/>
      </c>
      <c r="M626" s="29" t="str">
        <v/>
      </c>
      <c r="N626" s="29" t="str">
        <v/>
      </c>
      <c r="O626" s="2" t="str">
        <f ca="1"/>
        <v/>
      </c>
      <c r="P626" s="2" t="str">
        <f ca="1"/>
        <v/>
      </c>
      <c r="Q626" s="2" t="s">
        <v>5</v>
      </c>
      <c r="R626" s="2" t="s">
        <v>5</v>
      </c>
      <c r="U626" s="2" t="s">
        <v>155</v>
      </c>
      <c r="V626" s="2" t="e">
        <v>#N/A</v>
      </c>
      <c r="W626" s="2">
        <v>5000</v>
      </c>
      <c r="X626" s="29">
        <v>0</v>
      </c>
      <c r="Y626" s="30">
        <v>0</v>
      </c>
      <c r="Z626" s="29">
        <v>5000</v>
      </c>
      <c r="AA626" s="30">
        <v>2</v>
      </c>
      <c r="AB626" s="29">
        <v>0</v>
      </c>
      <c r="AC626" s="29">
        <v>0</v>
      </c>
      <c r="AD626" s="29">
        <v>2000</v>
      </c>
      <c r="AE626" s="29">
        <v>1</v>
      </c>
      <c r="AF626" s="29">
        <v>0</v>
      </c>
      <c r="AG626" s="29">
        <v>0</v>
      </c>
      <c r="AH626" s="2" t="e">
        <v>#N/A</v>
      </c>
      <c r="AI626" s="2" t="e">
        <v>#N/A</v>
      </c>
      <c r="AJ626" s="2" t="s">
        <v>5</v>
      </c>
      <c r="AK626" s="2" t="s">
        <v>5</v>
      </c>
    </row>
    <row r="627" spans="3:37" ht="12.5">
      <c r="C627" s="2" t="str">
        <f ca="1"/>
        <v/>
      </c>
      <c r="D627" s="2" t="str">
        <v/>
      </c>
      <c r="E627" s="29" t="str">
        <v/>
      </c>
      <c r="F627" s="30" t="str">
        <v/>
      </c>
      <c r="G627" s="29" t="str">
        <v/>
      </c>
      <c r="H627" s="30" t="str">
        <v/>
      </c>
      <c r="I627" s="29" t="str">
        <v/>
      </c>
      <c r="J627" s="29" t="str">
        <v/>
      </c>
      <c r="K627" s="29" t="str">
        <v/>
      </c>
      <c r="L627" s="29" t="str">
        <v/>
      </c>
      <c r="M627" s="29" t="str">
        <v/>
      </c>
      <c r="N627" s="29" t="str">
        <v/>
      </c>
      <c r="O627" s="2" t="str">
        <f ca="1"/>
        <v/>
      </c>
      <c r="P627" s="2" t="str">
        <f ca="1"/>
        <v/>
      </c>
      <c r="Q627" s="2" t="s">
        <v>5</v>
      </c>
      <c r="R627" s="2" t="s">
        <v>5</v>
      </c>
      <c r="U627" s="2" t="s">
        <v>156</v>
      </c>
      <c r="V627" s="2" t="e">
        <v>#N/A</v>
      </c>
      <c r="W627" s="2">
        <v>2500</v>
      </c>
      <c r="X627" s="29">
        <v>0</v>
      </c>
      <c r="Y627" s="30">
        <v>0</v>
      </c>
      <c r="Z627" s="29">
        <v>2500</v>
      </c>
      <c r="AA627" s="30">
        <v>1</v>
      </c>
      <c r="AB627" s="29">
        <v>10000</v>
      </c>
      <c r="AC627" s="29">
        <v>5</v>
      </c>
      <c r="AD627" s="29">
        <v>14000</v>
      </c>
      <c r="AE627" s="29">
        <v>7</v>
      </c>
      <c r="AF627" s="29">
        <v>0</v>
      </c>
      <c r="AG627" s="29">
        <v>0</v>
      </c>
      <c r="AH627" s="2" t="e">
        <v>#N/A</v>
      </c>
      <c r="AI627" s="2" t="e">
        <v>#N/A</v>
      </c>
      <c r="AJ627" s="2" t="s">
        <v>5</v>
      </c>
      <c r="AK627" s="2" t="s">
        <v>5</v>
      </c>
    </row>
    <row r="628" spans="3:37" ht="12.5">
      <c r="C628" s="2" t="str">
        <f ca="1"/>
        <v/>
      </c>
      <c r="D628" s="2" t="str">
        <v/>
      </c>
      <c r="E628" s="29" t="str">
        <v/>
      </c>
      <c r="F628" s="30" t="str">
        <v/>
      </c>
      <c r="G628" s="29" t="str">
        <v/>
      </c>
      <c r="H628" s="30" t="str">
        <v/>
      </c>
      <c r="I628" s="29" t="str">
        <v/>
      </c>
      <c r="J628" s="29" t="str">
        <v/>
      </c>
      <c r="K628" s="29" t="str">
        <v/>
      </c>
      <c r="L628" s="29" t="str">
        <v/>
      </c>
      <c r="M628" s="29" t="str">
        <v/>
      </c>
      <c r="N628" s="29" t="str">
        <v/>
      </c>
      <c r="O628" s="2" t="str">
        <f ca="1"/>
        <v/>
      </c>
      <c r="P628" s="2" t="str">
        <f ca="1"/>
        <v/>
      </c>
      <c r="Q628" s="2" t="s">
        <v>5</v>
      </c>
      <c r="R628" s="2" t="s">
        <v>5</v>
      </c>
      <c r="U628" s="2" t="s">
        <v>157</v>
      </c>
      <c r="V628" s="2" t="e">
        <v>#N/A</v>
      </c>
      <c r="W628" s="2">
        <v>7500</v>
      </c>
      <c r="X628" s="29">
        <v>0</v>
      </c>
      <c r="Y628" s="30">
        <v>0</v>
      </c>
      <c r="Z628" s="29">
        <v>7500</v>
      </c>
      <c r="AA628" s="30">
        <v>3</v>
      </c>
      <c r="AB628" s="29">
        <v>6000</v>
      </c>
      <c r="AC628" s="29">
        <v>3</v>
      </c>
      <c r="AD628" s="29">
        <v>6000</v>
      </c>
      <c r="AE628" s="29">
        <v>3</v>
      </c>
      <c r="AF628" s="29">
        <v>0</v>
      </c>
      <c r="AG628" s="29">
        <v>0</v>
      </c>
      <c r="AH628" s="2" t="e">
        <v>#N/A</v>
      </c>
      <c r="AI628" s="2" t="e">
        <v>#N/A</v>
      </c>
      <c r="AJ628" s="2" t="s">
        <v>5</v>
      </c>
      <c r="AK628" s="2" t="s">
        <v>5</v>
      </c>
    </row>
    <row r="629" spans="3:37" ht="12.5">
      <c r="C629" s="2" t="str">
        <f ca="1"/>
        <v/>
      </c>
      <c r="D629" s="2" t="str">
        <v/>
      </c>
      <c r="E629" s="29" t="str">
        <v/>
      </c>
      <c r="F629" s="30" t="str">
        <v/>
      </c>
      <c r="G629" s="29" t="str">
        <v/>
      </c>
      <c r="H629" s="30" t="str">
        <v/>
      </c>
      <c r="I629" s="29" t="str">
        <v/>
      </c>
      <c r="J629" s="29" t="str">
        <v/>
      </c>
      <c r="K629" s="29" t="str">
        <v/>
      </c>
      <c r="L629" s="29" t="str">
        <v/>
      </c>
      <c r="M629" s="29" t="str">
        <v/>
      </c>
      <c r="N629" s="29" t="str">
        <v/>
      </c>
      <c r="O629" s="2" t="str">
        <f ca="1"/>
        <v/>
      </c>
      <c r="P629" s="2" t="str">
        <f ca="1"/>
        <v/>
      </c>
      <c r="Q629" s="2" t="s">
        <v>5</v>
      </c>
      <c r="R629" s="2" t="s">
        <v>5</v>
      </c>
      <c r="U629" s="2" t="s">
        <v>158</v>
      </c>
      <c r="V629" s="2" t="e">
        <v>#N/A</v>
      </c>
      <c r="W629" s="2">
        <v>7500</v>
      </c>
      <c r="X629" s="29">
        <v>0</v>
      </c>
      <c r="Y629" s="30">
        <v>0</v>
      </c>
      <c r="Z629" s="29">
        <v>7500</v>
      </c>
      <c r="AA629" s="30">
        <v>3</v>
      </c>
      <c r="AB629" s="29">
        <v>2000</v>
      </c>
      <c r="AC629" s="29">
        <v>1</v>
      </c>
      <c r="AD629" s="29">
        <v>4000</v>
      </c>
      <c r="AE629" s="29">
        <v>2</v>
      </c>
      <c r="AF629" s="29">
        <v>0</v>
      </c>
      <c r="AG629" s="29">
        <v>0</v>
      </c>
      <c r="AH629" s="2" t="e">
        <v>#N/A</v>
      </c>
      <c r="AI629" s="2" t="e">
        <v>#N/A</v>
      </c>
      <c r="AJ629" s="2" t="s">
        <v>5</v>
      </c>
      <c r="AK629" s="2" t="s">
        <v>5</v>
      </c>
    </row>
    <row r="630" spans="3:37" ht="12.5">
      <c r="C630" s="2" t="str">
        <f ca="1"/>
        <v/>
      </c>
      <c r="D630" s="2" t="str">
        <v/>
      </c>
      <c r="E630" s="29" t="str">
        <v/>
      </c>
      <c r="F630" s="30" t="str">
        <v/>
      </c>
      <c r="G630" s="29" t="str">
        <v/>
      </c>
      <c r="H630" s="30" t="str">
        <v/>
      </c>
      <c r="I630" s="29" t="str">
        <v/>
      </c>
      <c r="J630" s="29" t="str">
        <v/>
      </c>
      <c r="K630" s="29" t="str">
        <v/>
      </c>
      <c r="L630" s="29" t="str">
        <v/>
      </c>
      <c r="M630" s="29" t="str">
        <v/>
      </c>
      <c r="N630" s="29" t="str">
        <v/>
      </c>
      <c r="O630" s="2" t="str">
        <f ca="1"/>
        <v/>
      </c>
      <c r="P630" s="2" t="str">
        <f ca="1"/>
        <v/>
      </c>
      <c r="Q630" s="2" t="s">
        <v>5</v>
      </c>
      <c r="R630" s="2" t="s">
        <v>5</v>
      </c>
      <c r="U630" s="2" t="s">
        <v>159</v>
      </c>
      <c r="V630" s="2" t="e">
        <v>#N/A</v>
      </c>
      <c r="W630" s="2">
        <v>2500</v>
      </c>
      <c r="X630" s="29">
        <v>0</v>
      </c>
      <c r="Y630" s="30">
        <v>0</v>
      </c>
      <c r="Z630" s="29">
        <v>2500</v>
      </c>
      <c r="AA630" s="30">
        <v>1</v>
      </c>
      <c r="AB630" s="29">
        <v>0</v>
      </c>
      <c r="AC630" s="29">
        <v>0</v>
      </c>
      <c r="AD630" s="29">
        <v>2000</v>
      </c>
      <c r="AE630" s="29">
        <v>1</v>
      </c>
      <c r="AF630" s="29">
        <v>0</v>
      </c>
      <c r="AG630" s="29">
        <v>0</v>
      </c>
      <c r="AH630" s="2" t="e">
        <v>#N/A</v>
      </c>
      <c r="AI630" s="2" t="e">
        <v>#N/A</v>
      </c>
      <c r="AJ630" s="2" t="s">
        <v>5</v>
      </c>
      <c r="AK630" s="2" t="s">
        <v>5</v>
      </c>
    </row>
    <row r="631" spans="3:37" ht="12.5">
      <c r="C631" s="2" t="str">
        <f ca="1"/>
        <v/>
      </c>
      <c r="D631" s="2" t="str">
        <v/>
      </c>
      <c r="E631" s="29" t="str">
        <v/>
      </c>
      <c r="F631" s="30" t="str">
        <v/>
      </c>
      <c r="G631" s="29" t="str">
        <v/>
      </c>
      <c r="H631" s="30" t="str">
        <v/>
      </c>
      <c r="I631" s="29" t="str">
        <v/>
      </c>
      <c r="J631" s="29" t="str">
        <v/>
      </c>
      <c r="K631" s="29" t="str">
        <v/>
      </c>
      <c r="L631" s="29" t="str">
        <v/>
      </c>
      <c r="M631" s="29" t="str">
        <v/>
      </c>
      <c r="N631" s="29" t="str">
        <v/>
      </c>
      <c r="O631" s="2" t="str">
        <f ca="1"/>
        <v/>
      </c>
      <c r="P631" s="2" t="str">
        <f ca="1"/>
        <v/>
      </c>
      <c r="Q631" s="2" t="s">
        <v>5</v>
      </c>
      <c r="R631" s="2" t="s">
        <v>5</v>
      </c>
      <c r="U631" s="2" t="s">
        <v>160</v>
      </c>
      <c r="V631" s="2" t="e">
        <v>#N/A</v>
      </c>
      <c r="W631" s="2">
        <v>2500</v>
      </c>
      <c r="X631" s="29">
        <v>0</v>
      </c>
      <c r="Y631" s="30">
        <v>0</v>
      </c>
      <c r="Z631" s="29">
        <v>2500</v>
      </c>
      <c r="AA631" s="30">
        <v>1</v>
      </c>
      <c r="AB631" s="29">
        <v>0</v>
      </c>
      <c r="AC631" s="29">
        <v>0</v>
      </c>
      <c r="AD631" s="29">
        <v>8000</v>
      </c>
      <c r="AE631" s="29">
        <v>4</v>
      </c>
      <c r="AF631" s="29">
        <v>0</v>
      </c>
      <c r="AG631" s="29">
        <v>0</v>
      </c>
      <c r="AH631" s="2" t="e">
        <v>#N/A</v>
      </c>
      <c r="AI631" s="2" t="e">
        <v>#N/A</v>
      </c>
      <c r="AJ631" s="2" t="s">
        <v>5</v>
      </c>
      <c r="AK631" s="2" t="s">
        <v>5</v>
      </c>
    </row>
    <row r="632" spans="3:37" ht="12.5">
      <c r="C632" s="2" t="str">
        <f ca="1"/>
        <v/>
      </c>
      <c r="D632" s="2" t="str">
        <v/>
      </c>
      <c r="E632" s="29" t="str">
        <v/>
      </c>
      <c r="F632" s="30" t="str">
        <v/>
      </c>
      <c r="G632" s="29" t="str">
        <v/>
      </c>
      <c r="H632" s="30" t="str">
        <v/>
      </c>
      <c r="I632" s="29" t="str">
        <v/>
      </c>
      <c r="J632" s="29" t="str">
        <v/>
      </c>
      <c r="K632" s="29" t="str">
        <v/>
      </c>
      <c r="L632" s="29" t="str">
        <v/>
      </c>
      <c r="M632" s="29" t="str">
        <v/>
      </c>
      <c r="N632" s="29" t="str">
        <v/>
      </c>
      <c r="O632" s="2" t="str">
        <f ca="1"/>
        <v/>
      </c>
      <c r="P632" s="2" t="str">
        <f ca="1"/>
        <v/>
      </c>
      <c r="Q632" s="2" t="s">
        <v>5</v>
      </c>
      <c r="R632" s="2" t="s">
        <v>5</v>
      </c>
      <c r="U632" s="2" t="s">
        <v>161</v>
      </c>
      <c r="V632" s="2" t="e">
        <v>#N/A</v>
      </c>
      <c r="W632" s="2">
        <v>5000</v>
      </c>
      <c r="X632" s="29">
        <v>0</v>
      </c>
      <c r="Y632" s="30">
        <v>0</v>
      </c>
      <c r="Z632" s="29">
        <v>5000</v>
      </c>
      <c r="AA632" s="30">
        <v>2</v>
      </c>
      <c r="AB632" s="29">
        <v>2000</v>
      </c>
      <c r="AC632" s="29">
        <v>1</v>
      </c>
      <c r="AD632" s="29">
        <v>8000</v>
      </c>
      <c r="AE632" s="29">
        <v>4</v>
      </c>
      <c r="AF632" s="29">
        <v>0</v>
      </c>
      <c r="AG632" s="29">
        <v>0</v>
      </c>
      <c r="AH632" s="2" t="e">
        <v>#N/A</v>
      </c>
      <c r="AI632" s="2" t="e">
        <v>#N/A</v>
      </c>
      <c r="AJ632" s="2" t="s">
        <v>5</v>
      </c>
      <c r="AK632" s="2" t="s">
        <v>5</v>
      </c>
    </row>
    <row r="633" spans="3:37" ht="12.5">
      <c r="C633" s="2" t="str">
        <f ca="1"/>
        <v/>
      </c>
      <c r="D633" s="2" t="str">
        <v/>
      </c>
      <c r="E633" s="29" t="str">
        <v/>
      </c>
      <c r="F633" s="30" t="str">
        <v/>
      </c>
      <c r="G633" s="29" t="str">
        <v/>
      </c>
      <c r="H633" s="30" t="str">
        <v/>
      </c>
      <c r="I633" s="29" t="str">
        <v/>
      </c>
      <c r="J633" s="29" t="str">
        <v/>
      </c>
      <c r="K633" s="29" t="str">
        <v/>
      </c>
      <c r="L633" s="29" t="str">
        <v/>
      </c>
      <c r="M633" s="29" t="str">
        <v/>
      </c>
      <c r="N633" s="29" t="str">
        <v/>
      </c>
      <c r="O633" s="2" t="str">
        <f ca="1"/>
        <v/>
      </c>
      <c r="P633" s="2" t="str">
        <f ca="1"/>
        <v/>
      </c>
      <c r="Q633" s="2" t="s">
        <v>5</v>
      </c>
      <c r="R633" s="2" t="s">
        <v>5</v>
      </c>
      <c r="U633" s="2" t="s">
        <v>162</v>
      </c>
      <c r="V633" s="2" t="e">
        <v>#N/A</v>
      </c>
      <c r="W633" s="2">
        <v>2500</v>
      </c>
      <c r="X633" s="29">
        <v>0</v>
      </c>
      <c r="Y633" s="30">
        <v>0</v>
      </c>
      <c r="Z633" s="29">
        <v>2500</v>
      </c>
      <c r="AA633" s="30">
        <v>1</v>
      </c>
      <c r="AB633" s="29">
        <v>0</v>
      </c>
      <c r="AC633" s="29">
        <v>0</v>
      </c>
      <c r="AD633" s="29">
        <v>0</v>
      </c>
      <c r="AE633" s="29">
        <v>0</v>
      </c>
      <c r="AF633" s="29">
        <v>0</v>
      </c>
      <c r="AG633" s="29">
        <v>0</v>
      </c>
      <c r="AH633" s="2" t="e">
        <v>#N/A</v>
      </c>
      <c r="AI633" s="2" t="e">
        <v>#N/A</v>
      </c>
      <c r="AJ633" s="2" t="s">
        <v>5</v>
      </c>
      <c r="AK633" s="2" t="s">
        <v>5</v>
      </c>
    </row>
    <row r="634" spans="3:37" ht="12.5">
      <c r="C634" s="2" t="str">
        <f ca="1"/>
        <v/>
      </c>
      <c r="D634" s="2" t="str">
        <v/>
      </c>
      <c r="E634" s="29" t="str">
        <v/>
      </c>
      <c r="F634" s="30" t="str">
        <v/>
      </c>
      <c r="G634" s="29" t="str">
        <v/>
      </c>
      <c r="H634" s="30" t="str">
        <v/>
      </c>
      <c r="I634" s="29" t="str">
        <v/>
      </c>
      <c r="J634" s="29" t="str">
        <v/>
      </c>
      <c r="K634" s="29" t="str">
        <v/>
      </c>
      <c r="L634" s="29" t="str">
        <v/>
      </c>
      <c r="M634" s="29" t="str">
        <v/>
      </c>
      <c r="N634" s="29" t="str">
        <v/>
      </c>
      <c r="O634" s="2" t="str">
        <f ca="1"/>
        <v/>
      </c>
      <c r="P634" s="2" t="str">
        <f ca="1"/>
        <v/>
      </c>
      <c r="Q634" s="2" t="s">
        <v>5</v>
      </c>
      <c r="R634" s="2" t="s">
        <v>5</v>
      </c>
      <c r="U634" s="2" t="s">
        <v>163</v>
      </c>
      <c r="V634" s="2" t="e">
        <v>#N/A</v>
      </c>
      <c r="W634" s="2">
        <v>2500</v>
      </c>
      <c r="X634" s="29">
        <v>0</v>
      </c>
      <c r="Y634" s="30">
        <v>0</v>
      </c>
      <c r="Z634" s="29">
        <v>2500</v>
      </c>
      <c r="AA634" s="30">
        <v>1</v>
      </c>
      <c r="AB634" s="29">
        <v>0</v>
      </c>
      <c r="AC634" s="29">
        <v>0</v>
      </c>
      <c r="AD634" s="29">
        <v>0</v>
      </c>
      <c r="AE634" s="29">
        <v>0</v>
      </c>
      <c r="AF634" s="29">
        <v>0</v>
      </c>
      <c r="AG634" s="29">
        <v>0</v>
      </c>
      <c r="AH634" s="2" t="e">
        <v>#N/A</v>
      </c>
      <c r="AI634" s="2" t="e">
        <v>#N/A</v>
      </c>
      <c r="AJ634" s="2" t="s">
        <v>5</v>
      </c>
      <c r="AK634" s="2" t="s">
        <v>5</v>
      </c>
    </row>
    <row r="635" spans="3:37" ht="12.5">
      <c r="C635" s="2" t="str">
        <f ca="1"/>
        <v/>
      </c>
      <c r="D635" s="2" t="str">
        <v/>
      </c>
      <c r="E635" s="29" t="str">
        <v/>
      </c>
      <c r="F635" s="30" t="str">
        <v/>
      </c>
      <c r="G635" s="29" t="str">
        <v/>
      </c>
      <c r="H635" s="30" t="str">
        <v/>
      </c>
      <c r="I635" s="29" t="str">
        <v/>
      </c>
      <c r="J635" s="29" t="str">
        <v/>
      </c>
      <c r="K635" s="29" t="str">
        <v/>
      </c>
      <c r="L635" s="29" t="str">
        <v/>
      </c>
      <c r="M635" s="29" t="str">
        <v/>
      </c>
      <c r="N635" s="29" t="str">
        <v/>
      </c>
      <c r="O635" s="2" t="str">
        <f ca="1"/>
        <v/>
      </c>
      <c r="P635" s="2" t="str">
        <f ca="1"/>
        <v/>
      </c>
      <c r="Q635" s="2" t="s">
        <v>5</v>
      </c>
      <c r="R635" s="2" t="s">
        <v>5</v>
      </c>
      <c r="U635" s="2" t="s">
        <v>164</v>
      </c>
      <c r="V635" s="2" t="e">
        <v>#N/A</v>
      </c>
      <c r="W635" s="2">
        <v>2500</v>
      </c>
      <c r="X635" s="29">
        <v>0</v>
      </c>
      <c r="Y635" s="30">
        <v>0</v>
      </c>
      <c r="Z635" s="29">
        <v>2500</v>
      </c>
      <c r="AA635" s="30">
        <v>1</v>
      </c>
      <c r="AB635" s="29">
        <v>4000</v>
      </c>
      <c r="AC635" s="29">
        <v>2</v>
      </c>
      <c r="AD635" s="29">
        <v>8000</v>
      </c>
      <c r="AE635" s="29">
        <v>4</v>
      </c>
      <c r="AF635" s="29">
        <v>0</v>
      </c>
      <c r="AG635" s="29">
        <v>0</v>
      </c>
      <c r="AH635" s="2" t="e">
        <v>#N/A</v>
      </c>
      <c r="AI635" s="2" t="e">
        <v>#N/A</v>
      </c>
      <c r="AJ635" s="2" t="s">
        <v>5</v>
      </c>
      <c r="AK635" s="2" t="s">
        <v>5</v>
      </c>
    </row>
    <row r="636" spans="3:37" ht="12.5">
      <c r="C636" s="2" t="str">
        <f ca="1"/>
        <v/>
      </c>
      <c r="D636" s="2" t="str">
        <v/>
      </c>
      <c r="E636" s="29" t="str">
        <v/>
      </c>
      <c r="F636" s="30" t="str">
        <v/>
      </c>
      <c r="G636" s="29" t="str">
        <v/>
      </c>
      <c r="H636" s="30" t="str">
        <v/>
      </c>
      <c r="I636" s="29" t="str">
        <v/>
      </c>
      <c r="J636" s="29" t="str">
        <v/>
      </c>
      <c r="K636" s="29" t="str">
        <v/>
      </c>
      <c r="L636" s="29" t="str">
        <v/>
      </c>
      <c r="M636" s="29" t="str">
        <v/>
      </c>
      <c r="N636" s="29" t="str">
        <v/>
      </c>
      <c r="O636" s="2" t="str">
        <f ca="1"/>
        <v/>
      </c>
      <c r="P636" s="2" t="str">
        <f ca="1"/>
        <v/>
      </c>
      <c r="Q636" s="2" t="s">
        <v>5</v>
      </c>
      <c r="R636" s="2" t="s">
        <v>5</v>
      </c>
      <c r="U636" s="2" t="s">
        <v>165</v>
      </c>
      <c r="V636" s="2" t="e">
        <v>#N/A</v>
      </c>
      <c r="W636" s="2">
        <v>5000</v>
      </c>
      <c r="X636" s="29">
        <v>0</v>
      </c>
      <c r="Y636" s="30">
        <v>0</v>
      </c>
      <c r="Z636" s="29">
        <v>5000</v>
      </c>
      <c r="AA636" s="30">
        <v>2</v>
      </c>
      <c r="AB636" s="29">
        <v>8000</v>
      </c>
      <c r="AC636" s="29">
        <v>4</v>
      </c>
      <c r="AD636" s="29">
        <v>4000</v>
      </c>
      <c r="AE636" s="29">
        <v>2</v>
      </c>
      <c r="AF636" s="29">
        <v>0</v>
      </c>
      <c r="AG636" s="29">
        <v>0</v>
      </c>
      <c r="AH636" s="2" t="e">
        <v>#N/A</v>
      </c>
      <c r="AI636" s="2" t="e">
        <v>#N/A</v>
      </c>
      <c r="AJ636" s="2" t="s">
        <v>5</v>
      </c>
      <c r="AK636" s="2" t="s">
        <v>5</v>
      </c>
    </row>
    <row r="637" spans="3:37" ht="12.5">
      <c r="C637" s="2" t="str">
        <f ca="1"/>
        <v/>
      </c>
      <c r="D637" s="2" t="str">
        <v/>
      </c>
      <c r="E637" s="29" t="str">
        <v/>
      </c>
      <c r="F637" s="30" t="str">
        <v/>
      </c>
      <c r="G637" s="29" t="str">
        <v/>
      </c>
      <c r="H637" s="30" t="str">
        <v/>
      </c>
      <c r="I637" s="29" t="str">
        <v/>
      </c>
      <c r="J637" s="29" t="str">
        <v/>
      </c>
      <c r="K637" s="29" t="str">
        <v/>
      </c>
      <c r="L637" s="29" t="str">
        <v/>
      </c>
      <c r="M637" s="29" t="str">
        <v/>
      </c>
      <c r="N637" s="29" t="str">
        <v/>
      </c>
      <c r="O637" s="2" t="str">
        <f ca="1"/>
        <v/>
      </c>
      <c r="P637" s="2" t="str">
        <f ca="1"/>
        <v/>
      </c>
      <c r="Q637" s="2" t="s">
        <v>5</v>
      </c>
      <c r="R637" s="2" t="s">
        <v>5</v>
      </c>
      <c r="U637" s="2" t="s">
        <v>166</v>
      </c>
      <c r="V637" s="2" t="e">
        <v>#N/A</v>
      </c>
      <c r="W637" s="2">
        <v>2500</v>
      </c>
      <c r="X637" s="29">
        <v>0</v>
      </c>
      <c r="Y637" s="30">
        <v>0</v>
      </c>
      <c r="Z637" s="29">
        <v>2500</v>
      </c>
      <c r="AA637" s="30">
        <v>1</v>
      </c>
      <c r="AB637" s="29">
        <v>0</v>
      </c>
      <c r="AC637" s="29">
        <v>0</v>
      </c>
      <c r="AD637" s="29">
        <v>0</v>
      </c>
      <c r="AE637" s="29">
        <v>0</v>
      </c>
      <c r="AF637" s="29">
        <v>0</v>
      </c>
      <c r="AG637" s="29">
        <v>0</v>
      </c>
      <c r="AH637" s="2" t="e">
        <v>#N/A</v>
      </c>
      <c r="AI637" s="2" t="e">
        <v>#N/A</v>
      </c>
      <c r="AJ637" s="2" t="s">
        <v>5</v>
      </c>
      <c r="AK637" s="2" t="s">
        <v>5</v>
      </c>
    </row>
    <row r="638" spans="3:37" ht="12.5">
      <c r="C638" s="2" t="str">
        <f ca="1"/>
        <v/>
      </c>
      <c r="D638" s="2" t="str">
        <v/>
      </c>
      <c r="E638" s="29" t="str">
        <v/>
      </c>
      <c r="F638" s="30" t="str">
        <v/>
      </c>
      <c r="G638" s="29" t="str">
        <v/>
      </c>
      <c r="H638" s="30" t="str">
        <v/>
      </c>
      <c r="I638" s="29" t="str">
        <v/>
      </c>
      <c r="J638" s="29" t="str">
        <v/>
      </c>
      <c r="K638" s="29" t="str">
        <v/>
      </c>
      <c r="L638" s="29" t="str">
        <v/>
      </c>
      <c r="M638" s="29" t="str">
        <v/>
      </c>
      <c r="N638" s="29" t="str">
        <v/>
      </c>
      <c r="O638" s="2" t="str">
        <f ca="1"/>
        <v/>
      </c>
      <c r="P638" s="2" t="str">
        <f ca="1"/>
        <v/>
      </c>
      <c r="Q638" s="2" t="s">
        <v>5</v>
      </c>
      <c r="R638" s="2" t="s">
        <v>5</v>
      </c>
      <c r="U638" s="2" t="s">
        <v>168</v>
      </c>
      <c r="V638" s="2" t="e">
        <v>#N/A</v>
      </c>
      <c r="W638" s="2">
        <v>2500</v>
      </c>
      <c r="X638" s="29">
        <v>0</v>
      </c>
      <c r="Y638" s="30">
        <v>0</v>
      </c>
      <c r="Z638" s="29">
        <v>2500</v>
      </c>
      <c r="AA638" s="30">
        <v>1</v>
      </c>
      <c r="AB638" s="29">
        <v>0</v>
      </c>
      <c r="AC638" s="29">
        <v>0</v>
      </c>
      <c r="AD638" s="29">
        <v>0</v>
      </c>
      <c r="AE638" s="29">
        <v>0</v>
      </c>
      <c r="AF638" s="29">
        <v>0</v>
      </c>
      <c r="AG638" s="29">
        <v>0</v>
      </c>
      <c r="AH638" s="2" t="e">
        <v>#N/A</v>
      </c>
      <c r="AI638" s="2" t="e">
        <v>#N/A</v>
      </c>
      <c r="AJ638" s="2" t="s">
        <v>5</v>
      </c>
      <c r="AK638" s="2" t="s">
        <v>5</v>
      </c>
    </row>
    <row r="639" spans="3:37" ht="12.5">
      <c r="C639" s="2" t="str">
        <f ca="1"/>
        <v/>
      </c>
      <c r="D639" s="2" t="str">
        <v/>
      </c>
      <c r="E639" s="29" t="str">
        <v/>
      </c>
      <c r="F639" s="30" t="str">
        <v/>
      </c>
      <c r="G639" s="29" t="str">
        <v/>
      </c>
      <c r="H639" s="30" t="str">
        <v/>
      </c>
      <c r="I639" s="29" t="str">
        <v/>
      </c>
      <c r="J639" s="29" t="str">
        <v/>
      </c>
      <c r="K639" s="29" t="str">
        <v/>
      </c>
      <c r="L639" s="29" t="str">
        <v/>
      </c>
      <c r="M639" s="29" t="str">
        <v/>
      </c>
      <c r="N639" s="29" t="str">
        <v/>
      </c>
      <c r="O639" s="2" t="str">
        <f ca="1"/>
        <v/>
      </c>
      <c r="P639" s="2" t="str">
        <f ca="1"/>
        <v/>
      </c>
      <c r="Q639" s="2" t="s">
        <v>5</v>
      </c>
      <c r="R639" s="2" t="s">
        <v>5</v>
      </c>
      <c r="U639" s="2" t="s">
        <v>169</v>
      </c>
      <c r="V639" s="2" t="e">
        <v>#N/A</v>
      </c>
      <c r="W639" s="2">
        <v>2500</v>
      </c>
      <c r="X639" s="29">
        <v>0</v>
      </c>
      <c r="Y639" s="30">
        <v>0</v>
      </c>
      <c r="Z639" s="29">
        <v>2500</v>
      </c>
      <c r="AA639" s="30">
        <v>1</v>
      </c>
      <c r="AB639" s="29">
        <v>10000</v>
      </c>
      <c r="AC639" s="29">
        <v>5</v>
      </c>
      <c r="AD639" s="29">
        <v>4000</v>
      </c>
      <c r="AE639" s="29">
        <v>2</v>
      </c>
      <c r="AF639" s="29">
        <v>0</v>
      </c>
      <c r="AG639" s="29">
        <v>0</v>
      </c>
      <c r="AH639" s="2" t="e">
        <v>#N/A</v>
      </c>
      <c r="AI639" s="2" t="e">
        <v>#N/A</v>
      </c>
      <c r="AJ639" s="2" t="s">
        <v>5</v>
      </c>
      <c r="AK639" s="2" t="s">
        <v>5</v>
      </c>
    </row>
    <row r="640" spans="3:37" ht="12.5">
      <c r="C640" s="2" t="str">
        <f ca="1"/>
        <v/>
      </c>
      <c r="D640" s="2" t="str">
        <v/>
      </c>
      <c r="E640" s="29" t="str">
        <v/>
      </c>
      <c r="F640" s="30" t="str">
        <v/>
      </c>
      <c r="G640" s="29" t="str">
        <v/>
      </c>
      <c r="H640" s="30" t="str">
        <v/>
      </c>
      <c r="I640" s="29" t="str">
        <v/>
      </c>
      <c r="J640" s="29" t="str">
        <v/>
      </c>
      <c r="K640" s="29" t="str">
        <v/>
      </c>
      <c r="L640" s="29" t="str">
        <v/>
      </c>
      <c r="M640" s="29" t="str">
        <v/>
      </c>
      <c r="N640" s="29" t="str">
        <v/>
      </c>
      <c r="O640" s="2" t="str">
        <f ca="1"/>
        <v/>
      </c>
      <c r="P640" s="2" t="str">
        <f ca="1"/>
        <v/>
      </c>
      <c r="Q640" s="2" t="s">
        <v>5</v>
      </c>
      <c r="R640" s="2" t="s">
        <v>5</v>
      </c>
      <c r="U640" s="2" t="s">
        <v>174</v>
      </c>
      <c r="V640" s="2" t="e">
        <v>#N/A</v>
      </c>
      <c r="W640" s="2">
        <v>2500</v>
      </c>
      <c r="X640" s="29">
        <v>0</v>
      </c>
      <c r="Y640" s="30">
        <v>0</v>
      </c>
      <c r="Z640" s="29">
        <v>2500</v>
      </c>
      <c r="AA640" s="30">
        <v>1</v>
      </c>
      <c r="AB640" s="29">
        <v>4000</v>
      </c>
      <c r="AC640" s="29">
        <v>2</v>
      </c>
      <c r="AD640" s="29">
        <v>18000</v>
      </c>
      <c r="AE640" s="29">
        <v>9</v>
      </c>
      <c r="AF640" s="29">
        <v>0</v>
      </c>
      <c r="AG640" s="29">
        <v>0</v>
      </c>
      <c r="AH640" s="2" t="e">
        <v>#N/A</v>
      </c>
      <c r="AI640" s="2" t="e">
        <v>#N/A</v>
      </c>
      <c r="AJ640" s="2" t="s">
        <v>5</v>
      </c>
      <c r="AK640" s="2" t="s">
        <v>5</v>
      </c>
    </row>
    <row r="641" spans="3:37" ht="12.5">
      <c r="C641" s="2" t="str">
        <f ca="1"/>
        <v/>
      </c>
      <c r="D641" s="2" t="str">
        <v/>
      </c>
      <c r="E641" s="29" t="str">
        <v/>
      </c>
      <c r="F641" s="30" t="str">
        <v/>
      </c>
      <c r="G641" s="29" t="str">
        <v/>
      </c>
      <c r="H641" s="30" t="str">
        <v/>
      </c>
      <c r="I641" s="29" t="str">
        <v/>
      </c>
      <c r="J641" s="29" t="str">
        <v/>
      </c>
      <c r="K641" s="29" t="str">
        <v/>
      </c>
      <c r="L641" s="29" t="str">
        <v/>
      </c>
      <c r="M641" s="29" t="str">
        <v/>
      </c>
      <c r="N641" s="29" t="str">
        <v/>
      </c>
      <c r="O641" s="2" t="str">
        <f ca="1"/>
        <v/>
      </c>
      <c r="P641" s="2" t="str">
        <f ca="1"/>
        <v/>
      </c>
      <c r="Q641" s="2" t="s">
        <v>5</v>
      </c>
      <c r="R641" s="2" t="s">
        <v>5</v>
      </c>
      <c r="U641" s="2" t="s">
        <v>176</v>
      </c>
      <c r="V641" s="2" t="e">
        <v>#N/A</v>
      </c>
      <c r="W641" s="2">
        <v>5000</v>
      </c>
      <c r="X641" s="29">
        <v>0</v>
      </c>
      <c r="Y641" s="30">
        <v>0</v>
      </c>
      <c r="Z641" s="29">
        <v>5000</v>
      </c>
      <c r="AA641" s="30">
        <v>2</v>
      </c>
      <c r="AB641" s="29">
        <v>6000</v>
      </c>
      <c r="AC641" s="29">
        <v>3</v>
      </c>
      <c r="AD641" s="29">
        <v>4000</v>
      </c>
      <c r="AE641" s="29">
        <v>2</v>
      </c>
      <c r="AF641" s="29">
        <v>0</v>
      </c>
      <c r="AG641" s="29">
        <v>0</v>
      </c>
      <c r="AH641" s="2" t="e">
        <v>#N/A</v>
      </c>
      <c r="AI641" s="2" t="e">
        <v>#N/A</v>
      </c>
      <c r="AJ641" s="2" t="s">
        <v>5</v>
      </c>
      <c r="AK641" s="2" t="s">
        <v>5</v>
      </c>
    </row>
    <row r="642" spans="3:37" ht="12.5">
      <c r="C642" s="2" t="str">
        <f ca="1"/>
        <v/>
      </c>
      <c r="D642" s="2" t="str">
        <v/>
      </c>
      <c r="E642" s="29" t="str">
        <v/>
      </c>
      <c r="F642" s="30" t="str">
        <v/>
      </c>
      <c r="G642" s="29" t="str">
        <v/>
      </c>
      <c r="H642" s="30" t="str">
        <v/>
      </c>
      <c r="I642" s="29" t="str">
        <v/>
      </c>
      <c r="J642" s="29" t="str">
        <v/>
      </c>
      <c r="K642" s="29" t="str">
        <v/>
      </c>
      <c r="L642" s="29" t="str">
        <v/>
      </c>
      <c r="M642" s="29" t="str">
        <v/>
      </c>
      <c r="N642" s="29" t="str">
        <v/>
      </c>
      <c r="O642" s="2" t="str">
        <f ca="1"/>
        <v/>
      </c>
      <c r="P642" s="2" t="str">
        <f ca="1"/>
        <v/>
      </c>
      <c r="Q642" s="2" t="s">
        <v>5</v>
      </c>
      <c r="R642" s="2" t="s">
        <v>5</v>
      </c>
      <c r="U642" s="2" t="s">
        <v>177</v>
      </c>
      <c r="V642" s="2" t="e">
        <v>#N/A</v>
      </c>
      <c r="W642" s="2">
        <v>5000</v>
      </c>
      <c r="X642" s="29">
        <v>0</v>
      </c>
      <c r="Y642" s="30">
        <v>0</v>
      </c>
      <c r="Z642" s="29">
        <v>5000</v>
      </c>
      <c r="AA642" s="30">
        <v>2</v>
      </c>
      <c r="AB642" s="29">
        <v>10000</v>
      </c>
      <c r="AC642" s="29">
        <v>5</v>
      </c>
      <c r="AD642" s="29">
        <v>6000</v>
      </c>
      <c r="AE642" s="29">
        <v>3</v>
      </c>
      <c r="AF642" s="29">
        <v>0</v>
      </c>
      <c r="AG642" s="29">
        <v>0</v>
      </c>
      <c r="AH642" s="2" t="e">
        <v>#N/A</v>
      </c>
      <c r="AI642" s="2" t="e">
        <v>#N/A</v>
      </c>
      <c r="AJ642" s="2" t="s">
        <v>5</v>
      </c>
      <c r="AK642" s="2" t="s">
        <v>5</v>
      </c>
    </row>
    <row r="643" spans="3:37" ht="12.5">
      <c r="C643" s="2" t="str">
        <f ca="1"/>
        <v/>
      </c>
      <c r="D643" s="2" t="str">
        <v/>
      </c>
      <c r="E643" s="29" t="str">
        <v/>
      </c>
      <c r="F643" s="30" t="str">
        <v/>
      </c>
      <c r="G643" s="29" t="str">
        <v/>
      </c>
      <c r="H643" s="30" t="str">
        <v/>
      </c>
      <c r="I643" s="29" t="str">
        <v/>
      </c>
      <c r="J643" s="29" t="str">
        <v/>
      </c>
      <c r="K643" s="29" t="str">
        <v/>
      </c>
      <c r="L643" s="29" t="str">
        <v/>
      </c>
      <c r="M643" s="29" t="str">
        <v/>
      </c>
      <c r="N643" s="29" t="str">
        <v/>
      </c>
      <c r="O643" s="2" t="str">
        <f ca="1"/>
        <v/>
      </c>
      <c r="P643" s="2" t="str">
        <f ca="1"/>
        <v/>
      </c>
      <c r="Q643" s="2" t="s">
        <v>5</v>
      </c>
      <c r="R643" s="2" t="s">
        <v>5</v>
      </c>
      <c r="U643" s="2" t="s">
        <v>179</v>
      </c>
      <c r="V643" s="2" t="e">
        <v>#N/A</v>
      </c>
      <c r="W643" s="2">
        <v>5000</v>
      </c>
      <c r="X643" s="29">
        <v>0</v>
      </c>
      <c r="Y643" s="30">
        <v>0</v>
      </c>
      <c r="Z643" s="29">
        <v>5000</v>
      </c>
      <c r="AA643" s="30">
        <v>2</v>
      </c>
      <c r="AB643" s="29">
        <v>4000</v>
      </c>
      <c r="AC643" s="29">
        <v>2</v>
      </c>
      <c r="AD643" s="29">
        <v>2000</v>
      </c>
      <c r="AE643" s="29">
        <v>1</v>
      </c>
      <c r="AF643" s="29">
        <v>0</v>
      </c>
      <c r="AG643" s="29">
        <v>0</v>
      </c>
      <c r="AH643" s="2" t="e">
        <v>#N/A</v>
      </c>
      <c r="AI643" s="2" t="e">
        <v>#N/A</v>
      </c>
      <c r="AJ643" s="2" t="s">
        <v>5</v>
      </c>
      <c r="AK643" s="2" t="s">
        <v>5</v>
      </c>
    </row>
    <row r="644" spans="3:37" ht="12.5">
      <c r="C644" s="2" t="str">
        <f ca="1"/>
        <v/>
      </c>
      <c r="D644" s="2" t="str">
        <v/>
      </c>
      <c r="E644" s="29" t="str">
        <v/>
      </c>
      <c r="F644" s="30" t="str">
        <v/>
      </c>
      <c r="G644" s="29" t="str">
        <v/>
      </c>
      <c r="H644" s="30" t="str">
        <v/>
      </c>
      <c r="I644" s="29" t="str">
        <v/>
      </c>
      <c r="J644" s="29" t="str">
        <v/>
      </c>
      <c r="K644" s="29" t="str">
        <v/>
      </c>
      <c r="L644" s="29" t="str">
        <v/>
      </c>
      <c r="M644" s="29" t="str">
        <v/>
      </c>
      <c r="N644" s="29" t="str">
        <v/>
      </c>
      <c r="O644" s="2" t="str">
        <f ca="1"/>
        <v/>
      </c>
      <c r="P644" s="2" t="str">
        <f ca="1"/>
        <v/>
      </c>
      <c r="Q644" s="2" t="s">
        <v>5</v>
      </c>
      <c r="R644" s="2" t="s">
        <v>5</v>
      </c>
      <c r="U644" s="2" t="s">
        <v>180</v>
      </c>
      <c r="V644" s="2" t="e">
        <v>#N/A</v>
      </c>
      <c r="W644" s="2">
        <v>2500</v>
      </c>
      <c r="X644" s="29">
        <v>0</v>
      </c>
      <c r="Y644" s="30">
        <v>0</v>
      </c>
      <c r="Z644" s="29">
        <v>2500</v>
      </c>
      <c r="AA644" s="30">
        <v>1</v>
      </c>
      <c r="AB644" s="29">
        <v>12000</v>
      </c>
      <c r="AC644" s="29">
        <v>6</v>
      </c>
      <c r="AD644" s="29">
        <v>14000</v>
      </c>
      <c r="AE644" s="29">
        <v>7</v>
      </c>
      <c r="AF644" s="29">
        <v>0</v>
      </c>
      <c r="AG644" s="29">
        <v>0</v>
      </c>
      <c r="AH644" s="2" t="e">
        <v>#N/A</v>
      </c>
      <c r="AI644" s="2" t="e">
        <v>#N/A</v>
      </c>
      <c r="AJ644" s="2" t="s">
        <v>5</v>
      </c>
      <c r="AK644" s="2" t="s">
        <v>5</v>
      </c>
    </row>
    <row r="645" spans="3:37" ht="12.5">
      <c r="C645" s="2" t="str">
        <f ca="1"/>
        <v/>
      </c>
      <c r="D645" s="2" t="str">
        <v/>
      </c>
      <c r="E645" s="29" t="str">
        <v/>
      </c>
      <c r="F645" s="30" t="str">
        <v/>
      </c>
      <c r="G645" s="29" t="str">
        <v/>
      </c>
      <c r="H645" s="30" t="str">
        <v/>
      </c>
      <c r="I645" s="29" t="str">
        <v/>
      </c>
      <c r="J645" s="29" t="str">
        <v/>
      </c>
      <c r="K645" s="29" t="str">
        <v/>
      </c>
      <c r="L645" s="29" t="str">
        <v/>
      </c>
      <c r="M645" s="29" t="str">
        <v/>
      </c>
      <c r="N645" s="29" t="str">
        <v/>
      </c>
      <c r="O645" s="2" t="str">
        <f ca="1"/>
        <v/>
      </c>
      <c r="P645" s="2" t="str">
        <f ca="1"/>
        <v/>
      </c>
      <c r="Q645" s="2" t="s">
        <v>5</v>
      </c>
      <c r="R645" s="2" t="s">
        <v>5</v>
      </c>
      <c r="U645" s="2" t="s">
        <v>182</v>
      </c>
      <c r="V645" s="2" t="e">
        <v>#N/A</v>
      </c>
      <c r="W645" s="2">
        <v>2500</v>
      </c>
      <c r="X645" s="29">
        <v>0</v>
      </c>
      <c r="Y645" s="30">
        <v>0</v>
      </c>
      <c r="Z645" s="29">
        <v>2500</v>
      </c>
      <c r="AA645" s="30">
        <v>1</v>
      </c>
      <c r="AB645" s="29">
        <v>2000</v>
      </c>
      <c r="AC645" s="29">
        <v>1</v>
      </c>
      <c r="AD645" s="29">
        <v>8000</v>
      </c>
      <c r="AE645" s="29">
        <v>4</v>
      </c>
      <c r="AF645" s="29">
        <v>0</v>
      </c>
      <c r="AG645" s="29">
        <v>0</v>
      </c>
      <c r="AH645" s="2" t="e">
        <v>#N/A</v>
      </c>
      <c r="AI645" s="2" t="e">
        <v>#N/A</v>
      </c>
      <c r="AJ645" s="2" t="s">
        <v>5</v>
      </c>
      <c r="AK645" s="2" t="s">
        <v>5</v>
      </c>
    </row>
    <row r="646" spans="3:37" ht="12.5">
      <c r="C646" s="2" t="str">
        <f ca="1"/>
        <v/>
      </c>
      <c r="D646" s="2" t="str">
        <v/>
      </c>
      <c r="E646" s="29" t="str">
        <v/>
      </c>
      <c r="F646" s="30" t="str">
        <v/>
      </c>
      <c r="G646" s="29" t="str">
        <v/>
      </c>
      <c r="H646" s="30" t="str">
        <v/>
      </c>
      <c r="I646" s="29" t="str">
        <v/>
      </c>
      <c r="J646" s="29" t="str">
        <v/>
      </c>
      <c r="K646" s="29" t="str">
        <v/>
      </c>
      <c r="L646" s="29" t="str">
        <v/>
      </c>
      <c r="M646" s="29" t="str">
        <v/>
      </c>
      <c r="N646" s="29" t="str">
        <v/>
      </c>
      <c r="O646" s="2" t="str">
        <f ca="1"/>
        <v/>
      </c>
      <c r="P646" s="2" t="str">
        <f ca="1"/>
        <v/>
      </c>
      <c r="Q646" s="2" t="s">
        <v>5</v>
      </c>
      <c r="R646" s="2" t="s">
        <v>5</v>
      </c>
      <c r="U646" s="2" t="s">
        <v>183</v>
      </c>
      <c r="V646" s="2" t="e">
        <v>#N/A</v>
      </c>
      <c r="W646" s="2">
        <v>5000</v>
      </c>
      <c r="X646" s="29">
        <v>0</v>
      </c>
      <c r="Y646" s="30">
        <v>0</v>
      </c>
      <c r="Z646" s="29">
        <v>5000</v>
      </c>
      <c r="AA646" s="30">
        <v>2</v>
      </c>
      <c r="AB646" s="29">
        <v>16000</v>
      </c>
      <c r="AC646" s="29">
        <v>8</v>
      </c>
      <c r="AD646" s="29">
        <v>0</v>
      </c>
      <c r="AE646" s="29">
        <v>0</v>
      </c>
      <c r="AF646" s="29">
        <v>0</v>
      </c>
      <c r="AG646" s="29">
        <v>0</v>
      </c>
      <c r="AH646" s="2" t="e">
        <v>#N/A</v>
      </c>
      <c r="AI646" s="2" t="e">
        <v>#N/A</v>
      </c>
      <c r="AJ646" s="2" t="s">
        <v>5</v>
      </c>
      <c r="AK646" s="2" t="s">
        <v>5</v>
      </c>
    </row>
    <row r="647" spans="3:37" ht="12.5">
      <c r="C647" s="2" t="str">
        <f ca="1"/>
        <v/>
      </c>
      <c r="D647" s="2" t="str">
        <v/>
      </c>
      <c r="E647" s="29" t="str">
        <v/>
      </c>
      <c r="F647" s="30" t="str">
        <v/>
      </c>
      <c r="G647" s="29" t="str">
        <v/>
      </c>
      <c r="H647" s="30" t="str">
        <v/>
      </c>
      <c r="I647" s="29" t="str">
        <v/>
      </c>
      <c r="J647" s="29" t="str">
        <v/>
      </c>
      <c r="K647" s="29" t="str">
        <v/>
      </c>
      <c r="L647" s="29" t="str">
        <v/>
      </c>
      <c r="M647" s="29" t="str">
        <v/>
      </c>
      <c r="N647" s="29" t="str">
        <v/>
      </c>
      <c r="O647" s="2" t="str">
        <f ca="1"/>
        <v/>
      </c>
      <c r="P647" s="2" t="str">
        <f ca="1"/>
        <v/>
      </c>
      <c r="Q647" s="2" t="s">
        <v>5</v>
      </c>
      <c r="R647" s="2" t="s">
        <v>5</v>
      </c>
      <c r="U647" s="2" t="s">
        <v>185</v>
      </c>
      <c r="V647" s="2" t="e">
        <v>#N/A</v>
      </c>
      <c r="W647" s="2">
        <v>2500</v>
      </c>
      <c r="X647" s="29">
        <v>0</v>
      </c>
      <c r="Y647" s="30">
        <v>0</v>
      </c>
      <c r="Z647" s="29">
        <v>2500</v>
      </c>
      <c r="AA647" s="30">
        <v>1</v>
      </c>
      <c r="AB647" s="29">
        <v>2000</v>
      </c>
      <c r="AC647" s="29">
        <v>1</v>
      </c>
      <c r="AD647" s="29">
        <v>8000</v>
      </c>
      <c r="AE647" s="29">
        <v>4</v>
      </c>
      <c r="AF647" s="29">
        <v>0</v>
      </c>
      <c r="AG647" s="29">
        <v>0</v>
      </c>
      <c r="AH647" s="2" t="e">
        <v>#N/A</v>
      </c>
      <c r="AI647" s="2" t="e">
        <v>#N/A</v>
      </c>
      <c r="AJ647" s="2" t="s">
        <v>5</v>
      </c>
      <c r="AK647" s="2" t="s">
        <v>5</v>
      </c>
    </row>
    <row r="648" spans="3:37" ht="12.5">
      <c r="C648" s="2" t="str">
        <f ca="1"/>
        <v/>
      </c>
      <c r="D648" s="2" t="str">
        <v/>
      </c>
      <c r="E648" s="29" t="str">
        <v/>
      </c>
      <c r="F648" s="30" t="str">
        <v/>
      </c>
      <c r="G648" s="29" t="str">
        <v/>
      </c>
      <c r="H648" s="30" t="str">
        <v/>
      </c>
      <c r="I648" s="29" t="str">
        <v/>
      </c>
      <c r="J648" s="29" t="str">
        <v/>
      </c>
      <c r="K648" s="29" t="str">
        <v/>
      </c>
      <c r="L648" s="29" t="str">
        <v/>
      </c>
      <c r="M648" s="29" t="str">
        <v/>
      </c>
      <c r="N648" s="29" t="str">
        <v/>
      </c>
      <c r="O648" s="2" t="str">
        <f ca="1"/>
        <v/>
      </c>
      <c r="P648" s="2" t="str">
        <f ca="1"/>
        <v/>
      </c>
      <c r="Q648" s="2" t="s">
        <v>5</v>
      </c>
      <c r="R648" s="2" t="s">
        <v>5</v>
      </c>
      <c r="U648" s="2" t="s">
        <v>186</v>
      </c>
      <c r="V648" s="2" t="e">
        <v>#N/A</v>
      </c>
      <c r="W648" s="2">
        <v>2500</v>
      </c>
      <c r="X648" s="29">
        <v>0</v>
      </c>
      <c r="Y648" s="30">
        <v>0</v>
      </c>
      <c r="Z648" s="29">
        <v>2500</v>
      </c>
      <c r="AA648" s="30">
        <v>1</v>
      </c>
      <c r="AB648" s="29">
        <v>0</v>
      </c>
      <c r="AC648" s="29">
        <v>0</v>
      </c>
      <c r="AD648" s="29">
        <v>0</v>
      </c>
      <c r="AE648" s="29">
        <v>0</v>
      </c>
      <c r="AF648" s="29">
        <v>0</v>
      </c>
      <c r="AG648" s="29">
        <v>0</v>
      </c>
      <c r="AH648" s="2" t="e">
        <v>#N/A</v>
      </c>
      <c r="AI648" s="2" t="e">
        <v>#N/A</v>
      </c>
      <c r="AJ648" s="2" t="s">
        <v>5</v>
      </c>
      <c r="AK648" s="2" t="s">
        <v>5</v>
      </c>
    </row>
    <row r="649" spans="3:37" ht="12.5">
      <c r="C649" s="2" t="str">
        <f ca="1"/>
        <v/>
      </c>
      <c r="D649" s="2" t="str">
        <v/>
      </c>
      <c r="E649" s="29" t="str">
        <v/>
      </c>
      <c r="F649" s="30" t="str">
        <v/>
      </c>
      <c r="G649" s="29" t="str">
        <v/>
      </c>
      <c r="H649" s="30" t="str">
        <v/>
      </c>
      <c r="I649" s="29" t="str">
        <v/>
      </c>
      <c r="J649" s="29" t="str">
        <v/>
      </c>
      <c r="K649" s="29" t="str">
        <v/>
      </c>
      <c r="L649" s="29" t="str">
        <v/>
      </c>
      <c r="M649" s="29" t="str">
        <v/>
      </c>
      <c r="N649" s="29" t="str">
        <v/>
      </c>
      <c r="O649" s="2" t="str">
        <f ca="1"/>
        <v/>
      </c>
      <c r="P649" s="2" t="str">
        <f ca="1"/>
        <v/>
      </c>
      <c r="Q649" s="2" t="s">
        <v>5</v>
      </c>
      <c r="R649" s="2" t="s">
        <v>5</v>
      </c>
      <c r="U649" s="2" t="s">
        <v>187</v>
      </c>
      <c r="V649" s="2" t="e">
        <v>#N/A</v>
      </c>
      <c r="W649" s="2">
        <v>2500</v>
      </c>
      <c r="X649" s="29">
        <v>0</v>
      </c>
      <c r="Y649" s="30">
        <v>0</v>
      </c>
      <c r="Z649" s="29">
        <v>2500</v>
      </c>
      <c r="AA649" s="30">
        <v>1</v>
      </c>
      <c r="AB649" s="29">
        <v>0</v>
      </c>
      <c r="AC649" s="29">
        <v>0</v>
      </c>
      <c r="AD649" s="29">
        <v>0</v>
      </c>
      <c r="AE649" s="29">
        <v>0</v>
      </c>
      <c r="AF649" s="29">
        <v>0</v>
      </c>
      <c r="AG649" s="29">
        <v>0</v>
      </c>
      <c r="AH649" s="2" t="e">
        <v>#N/A</v>
      </c>
      <c r="AI649" s="2" t="e">
        <v>#N/A</v>
      </c>
      <c r="AJ649" s="2" t="s">
        <v>5</v>
      </c>
      <c r="AK649" s="2" t="s">
        <v>5</v>
      </c>
    </row>
    <row r="650" spans="3:37" ht="12.5">
      <c r="C650" s="2" t="str">
        <f ca="1"/>
        <v/>
      </c>
      <c r="D650" s="2" t="str">
        <v/>
      </c>
      <c r="E650" s="29" t="str">
        <v/>
      </c>
      <c r="F650" s="30" t="str">
        <v/>
      </c>
      <c r="G650" s="29" t="str">
        <v/>
      </c>
      <c r="H650" s="30" t="str">
        <v/>
      </c>
      <c r="I650" s="29" t="str">
        <v/>
      </c>
      <c r="J650" s="29" t="str">
        <v/>
      </c>
      <c r="K650" s="29" t="str">
        <v/>
      </c>
      <c r="L650" s="29" t="str">
        <v/>
      </c>
      <c r="M650" s="29" t="str">
        <v/>
      </c>
      <c r="N650" s="29" t="str">
        <v/>
      </c>
      <c r="O650" s="2" t="str">
        <f ca="1"/>
        <v/>
      </c>
      <c r="P650" s="2" t="str">
        <f ca="1"/>
        <v/>
      </c>
      <c r="Q650" s="2" t="s">
        <v>5</v>
      </c>
      <c r="R650" s="2" t="s">
        <v>5</v>
      </c>
      <c r="U650" s="2" t="s">
        <v>188</v>
      </c>
      <c r="V650" s="2" t="e">
        <v>#N/A</v>
      </c>
      <c r="W650" s="2">
        <v>2500</v>
      </c>
      <c r="X650" s="29">
        <v>0</v>
      </c>
      <c r="Y650" s="30">
        <v>0</v>
      </c>
      <c r="Z650" s="29">
        <v>2500</v>
      </c>
      <c r="AA650" s="30">
        <v>1</v>
      </c>
      <c r="AB650" s="29">
        <v>0</v>
      </c>
      <c r="AC650" s="29">
        <v>0</v>
      </c>
      <c r="AD650" s="29">
        <v>0</v>
      </c>
      <c r="AE650" s="29">
        <v>0</v>
      </c>
      <c r="AF650" s="29">
        <v>0</v>
      </c>
      <c r="AG650" s="29">
        <v>0</v>
      </c>
      <c r="AH650" s="2" t="e">
        <v>#N/A</v>
      </c>
      <c r="AI650" s="2" t="e">
        <v>#N/A</v>
      </c>
      <c r="AJ650" s="2" t="s">
        <v>5</v>
      </c>
      <c r="AK650" s="2" t="s">
        <v>5</v>
      </c>
    </row>
    <row r="651" spans="3:37" ht="12.5">
      <c r="C651" s="2" t="str">
        <f ca="1"/>
        <v/>
      </c>
      <c r="D651" s="2" t="str">
        <v/>
      </c>
      <c r="E651" s="29" t="str">
        <v/>
      </c>
      <c r="F651" s="30" t="str">
        <v/>
      </c>
      <c r="G651" s="29" t="str">
        <v/>
      </c>
      <c r="H651" s="30" t="str">
        <v/>
      </c>
      <c r="I651" s="29" t="str">
        <v/>
      </c>
      <c r="J651" s="29" t="str">
        <v/>
      </c>
      <c r="K651" s="29" t="str">
        <v/>
      </c>
      <c r="L651" s="29" t="str">
        <v/>
      </c>
      <c r="M651" s="29" t="str">
        <v/>
      </c>
      <c r="N651" s="29" t="str">
        <v/>
      </c>
      <c r="O651" s="2" t="str">
        <f ca="1"/>
        <v/>
      </c>
      <c r="P651" s="2" t="str">
        <f ca="1"/>
        <v/>
      </c>
      <c r="Q651" s="2" t="s">
        <v>5</v>
      </c>
      <c r="R651" s="2" t="s">
        <v>5</v>
      </c>
      <c r="U651" s="2" t="s">
        <v>189</v>
      </c>
      <c r="V651" s="2" t="e">
        <v>#N/A</v>
      </c>
      <c r="W651" s="2">
        <v>2500</v>
      </c>
      <c r="X651" s="29">
        <v>0</v>
      </c>
      <c r="Y651" s="30">
        <v>0</v>
      </c>
      <c r="Z651" s="29">
        <v>2500</v>
      </c>
      <c r="AA651" s="30">
        <v>1</v>
      </c>
      <c r="AB651" s="29">
        <v>0</v>
      </c>
      <c r="AC651" s="29">
        <v>0</v>
      </c>
      <c r="AD651" s="29">
        <v>6000</v>
      </c>
      <c r="AE651" s="29">
        <v>3</v>
      </c>
      <c r="AF651" s="29">
        <v>0</v>
      </c>
      <c r="AG651" s="29">
        <v>0</v>
      </c>
      <c r="AH651" s="2" t="e">
        <v>#N/A</v>
      </c>
      <c r="AI651" s="2" t="e">
        <v>#N/A</v>
      </c>
      <c r="AJ651" s="2" t="s">
        <v>5</v>
      </c>
      <c r="AK651" s="2" t="s">
        <v>5</v>
      </c>
    </row>
    <row r="652" spans="3:37" ht="12.5">
      <c r="C652" s="2" t="str">
        <f ca="1"/>
        <v/>
      </c>
      <c r="D652" s="2" t="str">
        <v/>
      </c>
      <c r="E652" s="29" t="str">
        <v/>
      </c>
      <c r="F652" s="30" t="str">
        <v/>
      </c>
      <c r="G652" s="29" t="str">
        <v/>
      </c>
      <c r="H652" s="30" t="str">
        <v/>
      </c>
      <c r="I652" s="29" t="str">
        <v/>
      </c>
      <c r="J652" s="29" t="str">
        <v/>
      </c>
      <c r="K652" s="29" t="str">
        <v/>
      </c>
      <c r="L652" s="29" t="str">
        <v/>
      </c>
      <c r="M652" s="29" t="str">
        <v/>
      </c>
      <c r="N652" s="29" t="str">
        <v/>
      </c>
      <c r="O652" s="2" t="str">
        <f ca="1"/>
        <v/>
      </c>
      <c r="P652" s="2" t="str">
        <f ca="1"/>
        <v/>
      </c>
      <c r="Q652" s="2" t="s">
        <v>5</v>
      </c>
      <c r="R652" s="2" t="s">
        <v>5</v>
      </c>
      <c r="U652" s="2" t="s">
        <v>190</v>
      </c>
      <c r="V652" s="2" t="e">
        <v>#N/A</v>
      </c>
      <c r="W652" s="2">
        <v>2500</v>
      </c>
      <c r="X652" s="29">
        <v>0</v>
      </c>
      <c r="Y652" s="30">
        <v>0</v>
      </c>
      <c r="Z652" s="29">
        <v>2500</v>
      </c>
      <c r="AA652" s="30">
        <v>1</v>
      </c>
      <c r="AB652" s="29">
        <v>2000</v>
      </c>
      <c r="AC652" s="29">
        <v>1</v>
      </c>
      <c r="AD652" s="29">
        <v>16000</v>
      </c>
      <c r="AE652" s="29">
        <v>8</v>
      </c>
      <c r="AF652" s="29">
        <v>0</v>
      </c>
      <c r="AG652" s="29">
        <v>0</v>
      </c>
      <c r="AH652" s="2" t="e">
        <v>#N/A</v>
      </c>
      <c r="AI652" s="2" t="e">
        <v>#N/A</v>
      </c>
      <c r="AJ652" s="2" t="s">
        <v>5</v>
      </c>
      <c r="AK652" s="2" t="s">
        <v>5</v>
      </c>
    </row>
    <row r="653" spans="3:37" ht="12.5">
      <c r="C653" s="2" t="str">
        <f ca="1"/>
        <v/>
      </c>
      <c r="D653" s="2" t="str">
        <v/>
      </c>
      <c r="E653" s="29" t="str">
        <v/>
      </c>
      <c r="F653" s="30" t="str">
        <v/>
      </c>
      <c r="G653" s="29" t="str">
        <v/>
      </c>
      <c r="H653" s="30" t="str">
        <v/>
      </c>
      <c r="I653" s="29" t="str">
        <v/>
      </c>
      <c r="J653" s="29" t="str">
        <v/>
      </c>
      <c r="K653" s="29" t="str">
        <v/>
      </c>
      <c r="L653" s="29" t="str">
        <v/>
      </c>
      <c r="M653" s="29" t="str">
        <v/>
      </c>
      <c r="N653" s="29" t="str">
        <v/>
      </c>
      <c r="O653" s="2" t="str">
        <f ca="1"/>
        <v/>
      </c>
      <c r="P653" s="2" t="str">
        <f ca="1"/>
        <v/>
      </c>
      <c r="Q653" s="2" t="s">
        <v>5</v>
      </c>
      <c r="R653" s="2" t="s">
        <v>5</v>
      </c>
      <c r="U653" s="2" t="s">
        <v>191</v>
      </c>
      <c r="V653" s="2" t="e">
        <v>#N/A</v>
      </c>
      <c r="W653" s="2">
        <v>2500</v>
      </c>
      <c r="X653" s="29">
        <v>0</v>
      </c>
      <c r="Y653" s="30">
        <v>0</v>
      </c>
      <c r="Z653" s="29">
        <v>2500</v>
      </c>
      <c r="AA653" s="30">
        <v>1</v>
      </c>
      <c r="AB653" s="29">
        <v>4000</v>
      </c>
      <c r="AC653" s="29">
        <v>2</v>
      </c>
      <c r="AD653" s="29">
        <v>6000</v>
      </c>
      <c r="AE653" s="29">
        <v>3</v>
      </c>
      <c r="AF653" s="29">
        <v>0</v>
      </c>
      <c r="AG653" s="29">
        <v>0</v>
      </c>
      <c r="AH653" s="2" t="e">
        <v>#N/A</v>
      </c>
      <c r="AI653" s="2" t="e">
        <v>#N/A</v>
      </c>
      <c r="AJ653" s="2" t="s">
        <v>5</v>
      </c>
      <c r="AK653" s="2" t="s">
        <v>5</v>
      </c>
    </row>
    <row r="654" spans="3:37" ht="12.5">
      <c r="C654" s="2" t="str">
        <f ca="1"/>
        <v/>
      </c>
      <c r="D654" s="2" t="str">
        <v/>
      </c>
      <c r="E654" s="29" t="str">
        <v/>
      </c>
      <c r="F654" s="30" t="str">
        <v/>
      </c>
      <c r="G654" s="29" t="str">
        <v/>
      </c>
      <c r="H654" s="30" t="str">
        <v/>
      </c>
      <c r="I654" s="29" t="str">
        <v/>
      </c>
      <c r="J654" s="29" t="str">
        <v/>
      </c>
      <c r="K654" s="29" t="str">
        <v/>
      </c>
      <c r="L654" s="29" t="str">
        <v/>
      </c>
      <c r="M654" s="29" t="str">
        <v/>
      </c>
      <c r="N654" s="29" t="str">
        <v/>
      </c>
      <c r="O654" s="2" t="str">
        <f ca="1"/>
        <v/>
      </c>
      <c r="P654" s="2" t="str">
        <f ca="1"/>
        <v/>
      </c>
      <c r="Q654" s="2" t="s">
        <v>5</v>
      </c>
      <c r="R654" s="2" t="s">
        <v>5</v>
      </c>
      <c r="U654" s="2" t="s">
        <v>192</v>
      </c>
      <c r="V654" s="2" t="e">
        <v>#N/A</v>
      </c>
      <c r="W654" s="2">
        <v>5000</v>
      </c>
      <c r="X654" s="29">
        <v>0</v>
      </c>
      <c r="Y654" s="30">
        <v>0</v>
      </c>
      <c r="Z654" s="29">
        <v>5000</v>
      </c>
      <c r="AA654" s="30">
        <v>2</v>
      </c>
      <c r="AB654" s="29">
        <v>6000</v>
      </c>
      <c r="AC654" s="29">
        <v>3</v>
      </c>
      <c r="AD654" s="29">
        <v>14000</v>
      </c>
      <c r="AE654" s="29">
        <v>7</v>
      </c>
      <c r="AF654" s="29">
        <v>0</v>
      </c>
      <c r="AG654" s="29">
        <v>0</v>
      </c>
      <c r="AH654" s="2" t="e">
        <v>#N/A</v>
      </c>
      <c r="AI654" s="2" t="e">
        <v>#N/A</v>
      </c>
      <c r="AJ654" s="2" t="s">
        <v>5</v>
      </c>
      <c r="AK654" s="2" t="s">
        <v>5</v>
      </c>
    </row>
    <row r="655" spans="3:37" ht="12.5">
      <c r="C655" s="2" t="str">
        <f ca="1"/>
        <v/>
      </c>
      <c r="D655" s="2" t="str">
        <v/>
      </c>
      <c r="E655" s="29" t="str">
        <v/>
      </c>
      <c r="F655" s="30" t="str">
        <v/>
      </c>
      <c r="G655" s="29" t="str">
        <v/>
      </c>
      <c r="H655" s="30" t="str">
        <v/>
      </c>
      <c r="I655" s="29" t="str">
        <v/>
      </c>
      <c r="J655" s="29" t="str">
        <v/>
      </c>
      <c r="K655" s="29" t="str">
        <v/>
      </c>
      <c r="L655" s="29" t="str">
        <v/>
      </c>
      <c r="M655" s="29" t="str">
        <v/>
      </c>
      <c r="N655" s="29" t="str">
        <v/>
      </c>
      <c r="O655" s="2" t="str">
        <f ca="1"/>
        <v/>
      </c>
      <c r="P655" s="2" t="str">
        <f ca="1"/>
        <v/>
      </c>
      <c r="Q655" s="2" t="s">
        <v>5</v>
      </c>
      <c r="R655" s="2" t="s">
        <v>5</v>
      </c>
      <c r="U655" s="2" t="s">
        <v>193</v>
      </c>
      <c r="V655" s="2" t="e">
        <v>#N/A</v>
      </c>
      <c r="W655" s="2">
        <v>5000</v>
      </c>
      <c r="X655" s="29">
        <v>0</v>
      </c>
      <c r="Y655" s="30">
        <v>0</v>
      </c>
      <c r="Z655" s="29">
        <v>5000</v>
      </c>
      <c r="AA655" s="30">
        <v>2</v>
      </c>
      <c r="AB655" s="29">
        <v>10000</v>
      </c>
      <c r="AC655" s="29">
        <v>5</v>
      </c>
      <c r="AD655" s="29">
        <v>8000</v>
      </c>
      <c r="AE655" s="29">
        <v>4</v>
      </c>
      <c r="AF655" s="29">
        <v>0</v>
      </c>
      <c r="AG655" s="29">
        <v>0</v>
      </c>
      <c r="AH655" s="2" t="e">
        <v>#N/A</v>
      </c>
      <c r="AI655" s="2" t="e">
        <v>#N/A</v>
      </c>
      <c r="AJ655" s="2" t="s">
        <v>5</v>
      </c>
      <c r="AK655" s="2" t="s">
        <v>5</v>
      </c>
    </row>
    <row r="656" spans="3:37" ht="12.5">
      <c r="C656" s="2" t="str">
        <f ca="1"/>
        <v/>
      </c>
      <c r="D656" s="2" t="str">
        <v/>
      </c>
      <c r="E656" s="29" t="str">
        <v/>
      </c>
      <c r="F656" s="30" t="str">
        <v/>
      </c>
      <c r="G656" s="29" t="str">
        <v/>
      </c>
      <c r="H656" s="30" t="str">
        <v/>
      </c>
      <c r="I656" s="29" t="str">
        <v/>
      </c>
      <c r="J656" s="29" t="str">
        <v/>
      </c>
      <c r="K656" s="29" t="str">
        <v/>
      </c>
      <c r="L656" s="29" t="str">
        <v/>
      </c>
      <c r="M656" s="29" t="str">
        <v/>
      </c>
      <c r="N656" s="29" t="str">
        <v/>
      </c>
      <c r="O656" s="2" t="str">
        <f ca="1"/>
        <v/>
      </c>
      <c r="P656" s="2" t="str">
        <f ca="1"/>
        <v/>
      </c>
      <c r="Q656" s="2" t="s">
        <v>5</v>
      </c>
      <c r="R656" s="2" t="s">
        <v>5</v>
      </c>
      <c r="U656" s="2" t="s">
        <v>195</v>
      </c>
      <c r="V656" s="2" t="e">
        <v>#N/A</v>
      </c>
      <c r="W656" s="2">
        <v>2500</v>
      </c>
      <c r="X656" s="29">
        <v>0</v>
      </c>
      <c r="Y656" s="30">
        <v>0</v>
      </c>
      <c r="Z656" s="29">
        <v>2500</v>
      </c>
      <c r="AA656" s="30">
        <v>1</v>
      </c>
      <c r="AB656" s="29">
        <v>0</v>
      </c>
      <c r="AC656" s="29">
        <v>0</v>
      </c>
      <c r="AD656" s="29">
        <v>4000</v>
      </c>
      <c r="AE656" s="29">
        <v>2</v>
      </c>
      <c r="AF656" s="29">
        <v>0</v>
      </c>
      <c r="AG656" s="29">
        <v>0</v>
      </c>
      <c r="AH656" s="2" t="e">
        <v>#N/A</v>
      </c>
      <c r="AI656" s="2" t="e">
        <v>#N/A</v>
      </c>
      <c r="AJ656" s="2" t="s">
        <v>5</v>
      </c>
      <c r="AK656" s="2" t="s">
        <v>5</v>
      </c>
    </row>
    <row r="657" spans="3:37" ht="12.5">
      <c r="C657" s="2" t="str">
        <f ca="1"/>
        <v/>
      </c>
      <c r="D657" s="2" t="str">
        <v/>
      </c>
      <c r="E657" s="29" t="str">
        <v/>
      </c>
      <c r="F657" s="30" t="str">
        <v/>
      </c>
      <c r="G657" s="29" t="str">
        <v/>
      </c>
      <c r="H657" s="30" t="str">
        <v/>
      </c>
      <c r="I657" s="29" t="str">
        <v/>
      </c>
      <c r="J657" s="29" t="str">
        <v/>
      </c>
      <c r="K657" s="29" t="str">
        <v/>
      </c>
      <c r="L657" s="29" t="str">
        <v/>
      </c>
      <c r="M657" s="29" t="str">
        <v/>
      </c>
      <c r="N657" s="29" t="str">
        <v/>
      </c>
      <c r="O657" s="2" t="str">
        <f ca="1"/>
        <v/>
      </c>
      <c r="P657" s="2" t="str">
        <f ca="1"/>
        <v/>
      </c>
      <c r="Q657" s="2" t="s">
        <v>5</v>
      </c>
      <c r="R657" s="2" t="s">
        <v>5</v>
      </c>
      <c r="U657" s="2" t="s">
        <v>197</v>
      </c>
      <c r="V657" s="2" t="e">
        <v>#N/A</v>
      </c>
      <c r="W657" s="2">
        <v>2500</v>
      </c>
      <c r="X657" s="29">
        <v>0</v>
      </c>
      <c r="Y657" s="30">
        <v>0</v>
      </c>
      <c r="Z657" s="29">
        <v>2500</v>
      </c>
      <c r="AA657" s="30">
        <v>1</v>
      </c>
      <c r="AB657" s="29">
        <v>8000</v>
      </c>
      <c r="AC657" s="29">
        <v>4</v>
      </c>
      <c r="AD657" s="29">
        <v>8000</v>
      </c>
      <c r="AE657" s="29">
        <v>4</v>
      </c>
      <c r="AF657" s="29">
        <v>0</v>
      </c>
      <c r="AG657" s="29">
        <v>0</v>
      </c>
      <c r="AH657" s="2" t="e">
        <v>#N/A</v>
      </c>
      <c r="AI657" s="2" t="e">
        <v>#N/A</v>
      </c>
      <c r="AJ657" s="2" t="s">
        <v>5</v>
      </c>
      <c r="AK657" s="2" t="s">
        <v>5</v>
      </c>
    </row>
    <row r="658" spans="3:37" ht="12.5">
      <c r="C658" s="2" t="str">
        <f ca="1"/>
        <v/>
      </c>
      <c r="D658" s="2" t="str">
        <v/>
      </c>
      <c r="E658" s="29" t="str">
        <v/>
      </c>
      <c r="F658" s="30" t="str">
        <v/>
      </c>
      <c r="G658" s="29" t="str">
        <v/>
      </c>
      <c r="H658" s="30" t="str">
        <v/>
      </c>
      <c r="I658" s="29" t="str">
        <v/>
      </c>
      <c r="J658" s="29" t="str">
        <v/>
      </c>
      <c r="K658" s="29" t="str">
        <v/>
      </c>
      <c r="L658" s="29" t="str">
        <v/>
      </c>
      <c r="M658" s="29" t="str">
        <v/>
      </c>
      <c r="N658" s="29" t="str">
        <v/>
      </c>
      <c r="O658" s="2" t="str">
        <f ca="1"/>
        <v/>
      </c>
      <c r="P658" s="2" t="str">
        <f ca="1"/>
        <v/>
      </c>
      <c r="Q658" s="2" t="s">
        <v>5</v>
      </c>
      <c r="R658" s="2" t="s">
        <v>5</v>
      </c>
      <c r="U658" s="2" t="s">
        <v>199</v>
      </c>
      <c r="V658" s="2" t="e">
        <v>#N/A</v>
      </c>
      <c r="W658" s="2">
        <v>2500</v>
      </c>
      <c r="X658" s="29">
        <v>0</v>
      </c>
      <c r="Y658" s="30">
        <v>0</v>
      </c>
      <c r="Z658" s="29">
        <v>2500</v>
      </c>
      <c r="AA658" s="30">
        <v>1</v>
      </c>
      <c r="AB658" s="29">
        <v>2000</v>
      </c>
      <c r="AC658" s="29">
        <v>1</v>
      </c>
      <c r="AD658" s="29">
        <v>0</v>
      </c>
      <c r="AE658" s="29">
        <v>0</v>
      </c>
      <c r="AF658" s="29">
        <v>0</v>
      </c>
      <c r="AG658" s="29">
        <v>0</v>
      </c>
      <c r="AH658" s="2" t="e">
        <v>#N/A</v>
      </c>
      <c r="AI658" s="2" t="e">
        <v>#N/A</v>
      </c>
      <c r="AJ658" s="2" t="s">
        <v>5</v>
      </c>
      <c r="AK658" s="2" t="s">
        <v>5</v>
      </c>
    </row>
    <row r="659" spans="3:37" ht="12.5">
      <c r="C659" s="2" t="str">
        <f ca="1"/>
        <v/>
      </c>
      <c r="D659" s="2" t="str">
        <v/>
      </c>
      <c r="E659" s="29" t="str">
        <v/>
      </c>
      <c r="F659" s="30" t="str">
        <v/>
      </c>
      <c r="G659" s="29" t="str">
        <v/>
      </c>
      <c r="H659" s="30" t="str">
        <v/>
      </c>
      <c r="I659" s="29" t="str">
        <v/>
      </c>
      <c r="J659" s="29" t="str">
        <v/>
      </c>
      <c r="K659" s="29" t="str">
        <v/>
      </c>
      <c r="L659" s="29" t="str">
        <v/>
      </c>
      <c r="M659" s="29" t="str">
        <v/>
      </c>
      <c r="N659" s="29" t="str">
        <v/>
      </c>
      <c r="O659" s="2" t="str">
        <f ca="1"/>
        <v/>
      </c>
      <c r="P659" s="2" t="str">
        <f ca="1"/>
        <v/>
      </c>
      <c r="Q659" s="2" t="s">
        <v>5</v>
      </c>
      <c r="R659" s="2" t="s">
        <v>5</v>
      </c>
      <c r="U659" s="2" t="s">
        <v>202</v>
      </c>
      <c r="V659" s="2" t="e">
        <v>#N/A</v>
      </c>
      <c r="W659" s="2">
        <v>2500</v>
      </c>
      <c r="X659" s="29">
        <v>0</v>
      </c>
      <c r="Y659" s="30">
        <v>0</v>
      </c>
      <c r="Z659" s="29">
        <v>2500</v>
      </c>
      <c r="AA659" s="30">
        <v>1</v>
      </c>
      <c r="AB659" s="29">
        <v>8000</v>
      </c>
      <c r="AC659" s="29">
        <v>4</v>
      </c>
      <c r="AD659" s="29">
        <v>14000</v>
      </c>
      <c r="AE659" s="29">
        <v>7</v>
      </c>
      <c r="AF659" s="29">
        <v>0</v>
      </c>
      <c r="AG659" s="29">
        <v>0</v>
      </c>
      <c r="AH659" s="2" t="e">
        <v>#N/A</v>
      </c>
      <c r="AI659" s="2" t="e">
        <v>#N/A</v>
      </c>
      <c r="AJ659" s="2" t="s">
        <v>5</v>
      </c>
      <c r="AK659" s="2" t="s">
        <v>5</v>
      </c>
    </row>
    <row r="660" spans="3:37" ht="12.5">
      <c r="C660" s="2" t="str">
        <f ca="1"/>
        <v/>
      </c>
      <c r="D660" s="2" t="str">
        <v/>
      </c>
      <c r="E660" s="29" t="str">
        <v/>
      </c>
      <c r="F660" s="30" t="str">
        <v/>
      </c>
      <c r="G660" s="29" t="str">
        <v/>
      </c>
      <c r="H660" s="30" t="str">
        <v/>
      </c>
      <c r="I660" s="29" t="str">
        <v/>
      </c>
      <c r="J660" s="29" t="str">
        <v/>
      </c>
      <c r="K660" s="29" t="str">
        <v/>
      </c>
      <c r="L660" s="29" t="str">
        <v/>
      </c>
      <c r="M660" s="29" t="str">
        <v/>
      </c>
      <c r="N660" s="29" t="str">
        <v/>
      </c>
      <c r="O660" s="2" t="str">
        <f ca="1"/>
        <v/>
      </c>
      <c r="P660" s="2" t="str">
        <f ca="1"/>
        <v/>
      </c>
      <c r="Q660" s="2" t="s">
        <v>5</v>
      </c>
      <c r="R660" s="2" t="s">
        <v>5</v>
      </c>
      <c r="U660" s="2" t="s">
        <v>205</v>
      </c>
      <c r="V660" s="2" t="e">
        <v>#N/A</v>
      </c>
      <c r="W660" s="2">
        <v>2500</v>
      </c>
      <c r="X660" s="29">
        <v>0</v>
      </c>
      <c r="Y660" s="30">
        <v>0</v>
      </c>
      <c r="Z660" s="29">
        <v>2500</v>
      </c>
      <c r="AA660" s="30">
        <v>1</v>
      </c>
      <c r="AB660" s="29">
        <v>0</v>
      </c>
      <c r="AC660" s="29">
        <v>0</v>
      </c>
      <c r="AD660" s="29">
        <v>0</v>
      </c>
      <c r="AE660" s="29">
        <v>0</v>
      </c>
      <c r="AF660" s="29">
        <v>0</v>
      </c>
      <c r="AG660" s="29">
        <v>0</v>
      </c>
      <c r="AH660" s="2" t="e">
        <v>#N/A</v>
      </c>
      <c r="AI660" s="2" t="e">
        <v>#N/A</v>
      </c>
      <c r="AJ660" s="2" t="s">
        <v>5</v>
      </c>
      <c r="AK660" s="2" t="s">
        <v>5</v>
      </c>
    </row>
    <row r="661" spans="3:37" ht="12.5">
      <c r="C661" s="2" t="str">
        <f ca="1"/>
        <v/>
      </c>
      <c r="D661" s="2" t="str">
        <v/>
      </c>
      <c r="E661" s="29" t="str">
        <v/>
      </c>
      <c r="F661" s="30" t="str">
        <v/>
      </c>
      <c r="G661" s="29" t="str">
        <v/>
      </c>
      <c r="H661" s="30" t="str">
        <v/>
      </c>
      <c r="I661" s="29" t="str">
        <v/>
      </c>
      <c r="J661" s="29" t="str">
        <v/>
      </c>
      <c r="K661" s="29" t="str">
        <v/>
      </c>
      <c r="L661" s="29" t="str">
        <v/>
      </c>
      <c r="M661" s="29" t="str">
        <v/>
      </c>
      <c r="N661" s="29" t="str">
        <v/>
      </c>
      <c r="O661" s="2" t="str">
        <f ca="1"/>
        <v/>
      </c>
      <c r="P661" s="2" t="str">
        <f ca="1"/>
        <v/>
      </c>
      <c r="Q661" s="2" t="s">
        <v>5</v>
      </c>
      <c r="R661" s="2" t="s">
        <v>5</v>
      </c>
      <c r="U661" s="2" t="s">
        <v>210</v>
      </c>
      <c r="V661" s="2" t="e">
        <v>#N/A</v>
      </c>
      <c r="W661" s="2">
        <v>2500</v>
      </c>
      <c r="X661" s="29">
        <v>0</v>
      </c>
      <c r="Y661" s="30">
        <v>0</v>
      </c>
      <c r="Z661" s="29">
        <v>2500</v>
      </c>
      <c r="AA661" s="30">
        <v>1</v>
      </c>
      <c r="AB661" s="29">
        <v>0</v>
      </c>
      <c r="AC661" s="29">
        <v>0</v>
      </c>
      <c r="AD661" s="29">
        <v>0</v>
      </c>
      <c r="AE661" s="29">
        <v>0</v>
      </c>
      <c r="AF661" s="29">
        <v>0</v>
      </c>
      <c r="AG661" s="29">
        <v>0</v>
      </c>
      <c r="AH661" s="2" t="e">
        <v>#N/A</v>
      </c>
      <c r="AI661" s="2" t="e">
        <v>#N/A</v>
      </c>
      <c r="AJ661" s="2" t="s">
        <v>5</v>
      </c>
      <c r="AK661" s="2" t="s">
        <v>5</v>
      </c>
    </row>
    <row r="662" spans="3:37" ht="12.5">
      <c r="C662" s="2" t="str">
        <f ca="1"/>
        <v/>
      </c>
      <c r="D662" s="2" t="str">
        <v/>
      </c>
      <c r="E662" s="29" t="str">
        <v/>
      </c>
      <c r="F662" s="30" t="str">
        <v/>
      </c>
      <c r="G662" s="29" t="str">
        <v/>
      </c>
      <c r="H662" s="30" t="str">
        <v/>
      </c>
      <c r="I662" s="29" t="str">
        <v/>
      </c>
      <c r="J662" s="29" t="str">
        <v/>
      </c>
      <c r="K662" s="29" t="str">
        <v/>
      </c>
      <c r="L662" s="29" t="str">
        <v/>
      </c>
      <c r="M662" s="29" t="str">
        <v/>
      </c>
      <c r="N662" s="29" t="str">
        <v/>
      </c>
      <c r="O662" s="2" t="str">
        <f ca="1"/>
        <v/>
      </c>
      <c r="P662" s="2" t="str">
        <f ca="1"/>
        <v/>
      </c>
      <c r="Q662" s="2" t="s">
        <v>5</v>
      </c>
      <c r="R662" s="2" t="s">
        <v>5</v>
      </c>
      <c r="U662" s="2" t="s">
        <v>211</v>
      </c>
      <c r="V662" s="2" t="e">
        <v>#N/A</v>
      </c>
      <c r="W662" s="2">
        <v>2500</v>
      </c>
      <c r="X662" s="29">
        <v>0</v>
      </c>
      <c r="Y662" s="30">
        <v>0</v>
      </c>
      <c r="Z662" s="29">
        <v>2500</v>
      </c>
      <c r="AA662" s="30">
        <v>1</v>
      </c>
      <c r="AB662" s="29">
        <v>4000</v>
      </c>
      <c r="AC662" s="29">
        <v>2</v>
      </c>
      <c r="AD662" s="29">
        <v>0</v>
      </c>
      <c r="AE662" s="29">
        <v>0</v>
      </c>
      <c r="AF662" s="29">
        <v>0</v>
      </c>
      <c r="AG662" s="29">
        <v>0</v>
      </c>
      <c r="AH662" s="2" t="e">
        <v>#N/A</v>
      </c>
      <c r="AI662" s="2" t="e">
        <v>#N/A</v>
      </c>
      <c r="AJ662" s="2" t="s">
        <v>5</v>
      </c>
      <c r="AK662" s="2" t="s">
        <v>5</v>
      </c>
    </row>
    <row r="663" spans="3:37" ht="12.5">
      <c r="C663" s="2" t="str">
        <f ca="1"/>
        <v/>
      </c>
      <c r="D663" s="2" t="str">
        <v/>
      </c>
      <c r="E663" s="29" t="str">
        <v/>
      </c>
      <c r="F663" s="30" t="str">
        <v/>
      </c>
      <c r="G663" s="29" t="str">
        <v/>
      </c>
      <c r="H663" s="30" t="str">
        <v/>
      </c>
      <c r="I663" s="29" t="str">
        <v/>
      </c>
      <c r="J663" s="29" t="str">
        <v/>
      </c>
      <c r="K663" s="29" t="str">
        <v/>
      </c>
      <c r="L663" s="29" t="str">
        <v/>
      </c>
      <c r="M663" s="29" t="str">
        <v/>
      </c>
      <c r="N663" s="29" t="str">
        <v/>
      </c>
      <c r="O663" s="2" t="str">
        <f ca="1"/>
        <v/>
      </c>
      <c r="P663" s="2" t="str">
        <f ca="1"/>
        <v/>
      </c>
      <c r="Q663" s="2" t="s">
        <v>5</v>
      </c>
      <c r="R663" s="2" t="s">
        <v>5</v>
      </c>
      <c r="U663" s="2" t="s">
        <v>212</v>
      </c>
      <c r="V663" s="2" t="e">
        <v>#N/A</v>
      </c>
      <c r="W663" s="2">
        <v>2500</v>
      </c>
      <c r="X663" s="29">
        <v>0</v>
      </c>
      <c r="Y663" s="30">
        <v>0</v>
      </c>
      <c r="Z663" s="29">
        <v>2500</v>
      </c>
      <c r="AA663" s="30">
        <v>1</v>
      </c>
      <c r="AB663" s="29">
        <v>0</v>
      </c>
      <c r="AC663" s="29">
        <v>0</v>
      </c>
      <c r="AD663" s="29">
        <v>0</v>
      </c>
      <c r="AE663" s="29">
        <v>0</v>
      </c>
      <c r="AF663" s="29">
        <v>0</v>
      </c>
      <c r="AG663" s="29">
        <v>0</v>
      </c>
      <c r="AH663" s="2" t="e">
        <v>#N/A</v>
      </c>
      <c r="AI663" s="2" t="e">
        <v>#N/A</v>
      </c>
      <c r="AJ663" s="2" t="s">
        <v>5</v>
      </c>
      <c r="AK663" s="2" t="s">
        <v>5</v>
      </c>
    </row>
    <row r="664" spans="3:37" ht="12.5">
      <c r="C664" s="2" t="str">
        <f ca="1"/>
        <v/>
      </c>
      <c r="D664" s="2" t="str">
        <v/>
      </c>
      <c r="E664" s="29" t="str">
        <v/>
      </c>
      <c r="F664" s="30" t="str">
        <v/>
      </c>
      <c r="G664" s="29" t="str">
        <v/>
      </c>
      <c r="H664" s="30" t="str">
        <v/>
      </c>
      <c r="I664" s="29" t="str">
        <v/>
      </c>
      <c r="J664" s="29" t="str">
        <v/>
      </c>
      <c r="K664" s="29" t="str">
        <v/>
      </c>
      <c r="L664" s="29" t="str">
        <v/>
      </c>
      <c r="M664" s="29" t="str">
        <v/>
      </c>
      <c r="N664" s="29" t="str">
        <v/>
      </c>
      <c r="O664" s="2" t="str">
        <f ca="1"/>
        <v/>
      </c>
      <c r="P664" s="2" t="str">
        <f ca="1"/>
        <v/>
      </c>
      <c r="Q664" s="2" t="s">
        <v>5</v>
      </c>
      <c r="R664" s="2" t="s">
        <v>5</v>
      </c>
      <c r="U664" s="2" t="s">
        <v>213</v>
      </c>
      <c r="V664" s="2" t="e">
        <v>#N/A</v>
      </c>
      <c r="W664" s="2">
        <v>2500</v>
      </c>
      <c r="X664" s="29">
        <v>0</v>
      </c>
      <c r="Y664" s="30">
        <v>0</v>
      </c>
      <c r="Z664" s="29">
        <v>2500</v>
      </c>
      <c r="AA664" s="30">
        <v>1</v>
      </c>
      <c r="AB664" s="29">
        <v>8000</v>
      </c>
      <c r="AC664" s="29">
        <v>4</v>
      </c>
      <c r="AD664" s="29">
        <v>8000</v>
      </c>
      <c r="AE664" s="29">
        <v>4</v>
      </c>
      <c r="AF664" s="29">
        <v>0</v>
      </c>
      <c r="AG664" s="29">
        <v>0</v>
      </c>
      <c r="AH664" s="2" t="e">
        <v>#N/A</v>
      </c>
      <c r="AI664" s="2" t="e">
        <v>#N/A</v>
      </c>
      <c r="AJ664" s="2" t="s">
        <v>5</v>
      </c>
      <c r="AK664" s="2" t="s">
        <v>5</v>
      </c>
    </row>
    <row r="665" spans="3:37" ht="12.5">
      <c r="C665" s="2" t="str">
        <f ca="1"/>
        <v/>
      </c>
      <c r="D665" s="2" t="str">
        <v/>
      </c>
      <c r="E665" s="29" t="str">
        <v/>
      </c>
      <c r="F665" s="30" t="str">
        <v/>
      </c>
      <c r="G665" s="29" t="str">
        <v/>
      </c>
      <c r="H665" s="30" t="str">
        <v/>
      </c>
      <c r="I665" s="29" t="str">
        <v/>
      </c>
      <c r="J665" s="29" t="str">
        <v/>
      </c>
      <c r="K665" s="29" t="str">
        <v/>
      </c>
      <c r="L665" s="29" t="str">
        <v/>
      </c>
      <c r="M665" s="29" t="str">
        <v/>
      </c>
      <c r="N665" s="29" t="str">
        <v/>
      </c>
      <c r="O665" s="2" t="str">
        <f ca="1"/>
        <v/>
      </c>
      <c r="P665" s="2" t="str">
        <f ca="1"/>
        <v/>
      </c>
      <c r="Q665" s="2" t="s">
        <v>5</v>
      </c>
      <c r="R665" s="2" t="s">
        <v>5</v>
      </c>
      <c r="U665" s="2" t="s">
        <v>214</v>
      </c>
      <c r="V665" s="2" t="e">
        <v>#N/A</v>
      </c>
      <c r="W665" s="2">
        <v>2500</v>
      </c>
      <c r="X665" s="29">
        <v>0</v>
      </c>
      <c r="Y665" s="30">
        <v>0</v>
      </c>
      <c r="Z665" s="29">
        <v>2500</v>
      </c>
      <c r="AA665" s="30">
        <v>1</v>
      </c>
      <c r="AB665" s="29">
        <v>6000</v>
      </c>
      <c r="AC665" s="29">
        <v>3</v>
      </c>
      <c r="AD665" s="29">
        <v>2000</v>
      </c>
      <c r="AE665" s="29">
        <v>1</v>
      </c>
      <c r="AF665" s="29">
        <v>0</v>
      </c>
      <c r="AG665" s="29">
        <v>0</v>
      </c>
      <c r="AH665" s="2" t="e">
        <v>#N/A</v>
      </c>
      <c r="AI665" s="2" t="e">
        <v>#N/A</v>
      </c>
      <c r="AJ665" s="2" t="s">
        <v>5</v>
      </c>
      <c r="AK665" s="2" t="s">
        <v>5</v>
      </c>
    </row>
    <row r="666" spans="3:37" ht="12.5">
      <c r="C666" s="2" t="str">
        <f ca="1"/>
        <v/>
      </c>
      <c r="D666" s="2" t="str">
        <v/>
      </c>
      <c r="E666" s="29" t="str">
        <v/>
      </c>
      <c r="F666" s="30" t="str">
        <v/>
      </c>
      <c r="G666" s="29" t="str">
        <v/>
      </c>
      <c r="H666" s="30" t="str">
        <v/>
      </c>
      <c r="I666" s="29" t="str">
        <v/>
      </c>
      <c r="J666" s="29" t="str">
        <v/>
      </c>
      <c r="K666" s="29" t="str">
        <v/>
      </c>
      <c r="L666" s="29" t="str">
        <v/>
      </c>
      <c r="M666" s="29" t="str">
        <v/>
      </c>
      <c r="N666" s="29" t="str">
        <v/>
      </c>
      <c r="O666" s="2" t="str">
        <f ca="1"/>
        <v/>
      </c>
      <c r="P666" s="2" t="str">
        <f ca="1"/>
        <v/>
      </c>
      <c r="Q666" s="2" t="s">
        <v>5</v>
      </c>
      <c r="R666" s="2" t="s">
        <v>5</v>
      </c>
      <c r="U666" s="2" t="s">
        <v>215</v>
      </c>
      <c r="V666" s="2" t="e">
        <v>#N/A</v>
      </c>
      <c r="W666" s="2">
        <v>2500</v>
      </c>
      <c r="X666" s="29">
        <v>0</v>
      </c>
      <c r="Y666" s="30">
        <v>0</v>
      </c>
      <c r="Z666" s="29">
        <v>2500</v>
      </c>
      <c r="AA666" s="30">
        <v>1</v>
      </c>
      <c r="AB666" s="29">
        <v>2000</v>
      </c>
      <c r="AC666" s="29">
        <v>1</v>
      </c>
      <c r="AD666" s="29">
        <v>0</v>
      </c>
      <c r="AE666" s="29">
        <v>0</v>
      </c>
      <c r="AF666" s="29">
        <v>0</v>
      </c>
      <c r="AG666" s="29">
        <v>0</v>
      </c>
      <c r="AH666" s="2" t="e">
        <v>#N/A</v>
      </c>
      <c r="AI666" s="2" t="e">
        <v>#N/A</v>
      </c>
      <c r="AJ666" s="2" t="s">
        <v>5</v>
      </c>
      <c r="AK666" s="2" t="s">
        <v>5</v>
      </c>
    </row>
    <row r="667" spans="3:37" ht="12.5">
      <c r="C667" s="2" t="str">
        <f ca="1"/>
        <v/>
      </c>
      <c r="D667" s="2" t="str">
        <v/>
      </c>
      <c r="E667" s="29" t="str">
        <v/>
      </c>
      <c r="F667" s="30" t="str">
        <v/>
      </c>
      <c r="G667" s="29" t="str">
        <v/>
      </c>
      <c r="H667" s="30" t="str">
        <v/>
      </c>
      <c r="I667" s="29" t="str">
        <v/>
      </c>
      <c r="J667" s="29" t="str">
        <v/>
      </c>
      <c r="K667" s="29" t="str">
        <v/>
      </c>
      <c r="L667" s="29" t="str">
        <v/>
      </c>
      <c r="M667" s="29" t="str">
        <v/>
      </c>
      <c r="N667" s="29" t="str">
        <v/>
      </c>
      <c r="O667" s="2" t="str">
        <f ca="1"/>
        <v/>
      </c>
      <c r="P667" s="2" t="str">
        <f ca="1"/>
        <v/>
      </c>
      <c r="Q667" s="2" t="s">
        <v>5</v>
      </c>
      <c r="R667" s="2" t="s">
        <v>5</v>
      </c>
      <c r="U667" s="2" t="s">
        <v>217</v>
      </c>
      <c r="V667" s="2" t="e">
        <v>#N/A</v>
      </c>
      <c r="W667" s="2">
        <v>2500</v>
      </c>
      <c r="X667" s="29">
        <v>0</v>
      </c>
      <c r="Y667" s="30">
        <v>0</v>
      </c>
      <c r="Z667" s="29">
        <v>2500</v>
      </c>
      <c r="AA667" s="30">
        <v>1</v>
      </c>
      <c r="AB667" s="29">
        <v>0</v>
      </c>
      <c r="AC667" s="29">
        <v>0</v>
      </c>
      <c r="AD667" s="29">
        <v>6000</v>
      </c>
      <c r="AE667" s="29">
        <v>3</v>
      </c>
      <c r="AF667" s="29">
        <v>0</v>
      </c>
      <c r="AG667" s="29">
        <v>0</v>
      </c>
      <c r="AH667" s="2" t="e">
        <v>#N/A</v>
      </c>
      <c r="AI667" s="2" t="e">
        <v>#N/A</v>
      </c>
      <c r="AJ667" s="2" t="s">
        <v>5</v>
      </c>
      <c r="AK667" s="2" t="s">
        <v>5</v>
      </c>
    </row>
    <row r="668" spans="3:37" ht="12.5">
      <c r="C668" s="2" t="str">
        <f ca="1"/>
        <v/>
      </c>
      <c r="D668" s="2" t="str">
        <v/>
      </c>
      <c r="E668" s="29" t="str">
        <v/>
      </c>
      <c r="F668" s="30" t="str">
        <v/>
      </c>
      <c r="G668" s="29" t="str">
        <v/>
      </c>
      <c r="H668" s="30" t="str">
        <v/>
      </c>
      <c r="I668" s="29" t="str">
        <v/>
      </c>
      <c r="J668" s="29" t="str">
        <v/>
      </c>
      <c r="K668" s="29" t="str">
        <v/>
      </c>
      <c r="L668" s="29" t="str">
        <v/>
      </c>
      <c r="M668" s="29" t="str">
        <v/>
      </c>
      <c r="N668" s="29" t="str">
        <v/>
      </c>
      <c r="O668" s="2" t="str">
        <f ca="1"/>
        <v/>
      </c>
      <c r="P668" s="2" t="str">
        <f ca="1"/>
        <v/>
      </c>
      <c r="Q668" s="2" t="s">
        <v>5</v>
      </c>
      <c r="R668" s="2" t="s">
        <v>5</v>
      </c>
      <c r="U668" s="2" t="s">
        <v>219</v>
      </c>
      <c r="V668" s="2" t="e">
        <v>#N/A</v>
      </c>
      <c r="W668" s="2">
        <v>2500</v>
      </c>
      <c r="X668" s="29">
        <v>0</v>
      </c>
      <c r="Y668" s="30">
        <v>0</v>
      </c>
      <c r="Z668" s="29">
        <v>2500</v>
      </c>
      <c r="AA668" s="30">
        <v>1</v>
      </c>
      <c r="AB668" s="29">
        <v>4000</v>
      </c>
      <c r="AC668" s="29">
        <v>2</v>
      </c>
      <c r="AD668" s="29">
        <v>8000</v>
      </c>
      <c r="AE668" s="29">
        <v>4</v>
      </c>
      <c r="AF668" s="29">
        <v>0</v>
      </c>
      <c r="AG668" s="29">
        <v>0</v>
      </c>
      <c r="AH668" s="2" t="e">
        <v>#N/A</v>
      </c>
      <c r="AI668" s="2" t="e">
        <v>#N/A</v>
      </c>
      <c r="AJ668" s="2" t="s">
        <v>5</v>
      </c>
      <c r="AK668" s="2" t="s">
        <v>5</v>
      </c>
    </row>
    <row r="669" spans="3:37" ht="12.5">
      <c r="C669" s="2" t="str">
        <f ca="1"/>
        <v/>
      </c>
      <c r="D669" s="2" t="str">
        <v/>
      </c>
      <c r="E669" s="29" t="str">
        <v/>
      </c>
      <c r="F669" s="30" t="str">
        <v/>
      </c>
      <c r="G669" s="29" t="str">
        <v/>
      </c>
      <c r="H669" s="30" t="str">
        <v/>
      </c>
      <c r="I669" s="29" t="str">
        <v/>
      </c>
      <c r="J669" s="29" t="str">
        <v/>
      </c>
      <c r="K669" s="29" t="str">
        <v/>
      </c>
      <c r="L669" s="29" t="str">
        <v/>
      </c>
      <c r="M669" s="29" t="str">
        <v/>
      </c>
      <c r="N669" s="29" t="str">
        <v/>
      </c>
      <c r="O669" s="2" t="str">
        <f ca="1"/>
        <v/>
      </c>
      <c r="P669" s="2" t="str">
        <f ca="1"/>
        <v/>
      </c>
      <c r="Q669" s="2" t="s">
        <v>5</v>
      </c>
      <c r="R669" s="2" t="s">
        <v>5</v>
      </c>
      <c r="U669" s="2" t="s">
        <v>221</v>
      </c>
      <c r="V669" s="2" t="e">
        <v>#N/A</v>
      </c>
      <c r="W669" s="2">
        <v>2500</v>
      </c>
      <c r="X669" s="29">
        <v>0</v>
      </c>
      <c r="Y669" s="30">
        <v>0</v>
      </c>
      <c r="Z669" s="29">
        <v>2500</v>
      </c>
      <c r="AA669" s="30">
        <v>1</v>
      </c>
      <c r="AB669" s="29">
        <v>6000</v>
      </c>
      <c r="AC669" s="29">
        <v>3</v>
      </c>
      <c r="AD669" s="29">
        <v>4000</v>
      </c>
      <c r="AE669" s="29">
        <v>2</v>
      </c>
      <c r="AF669" s="29">
        <v>0</v>
      </c>
      <c r="AG669" s="29">
        <v>0</v>
      </c>
      <c r="AH669" s="2" t="e">
        <v>#N/A</v>
      </c>
      <c r="AI669" s="2" t="e">
        <v>#N/A</v>
      </c>
      <c r="AJ669" s="2" t="s">
        <v>5</v>
      </c>
      <c r="AK669" s="2" t="s">
        <v>5</v>
      </c>
    </row>
    <row r="670" spans="3:37" ht="12.5">
      <c r="C670" s="2" t="str">
        <f ca="1"/>
        <v/>
      </c>
      <c r="D670" s="2" t="str">
        <v/>
      </c>
      <c r="E670" s="29" t="str">
        <v/>
      </c>
      <c r="F670" s="30" t="str">
        <v/>
      </c>
      <c r="G670" s="29" t="str">
        <v/>
      </c>
      <c r="H670" s="30" t="str">
        <v/>
      </c>
      <c r="I670" s="29" t="str">
        <v/>
      </c>
      <c r="J670" s="29" t="str">
        <v/>
      </c>
      <c r="K670" s="29" t="str">
        <v/>
      </c>
      <c r="L670" s="29" t="str">
        <v/>
      </c>
      <c r="M670" s="29" t="str">
        <v/>
      </c>
      <c r="N670" s="29" t="str">
        <v/>
      </c>
      <c r="O670" s="2" t="str">
        <f ca="1"/>
        <v/>
      </c>
      <c r="P670" s="2" t="str">
        <f ca="1"/>
        <v/>
      </c>
      <c r="Q670" s="2" t="s">
        <v>5</v>
      </c>
      <c r="R670" s="2" t="s">
        <v>5</v>
      </c>
      <c r="U670" s="2" t="s">
        <v>222</v>
      </c>
      <c r="V670" s="2" t="e">
        <v>#N/A</v>
      </c>
      <c r="W670" s="2">
        <v>2500</v>
      </c>
      <c r="X670" s="29">
        <v>0</v>
      </c>
      <c r="Y670" s="30">
        <v>0</v>
      </c>
      <c r="Z670" s="29">
        <v>2500</v>
      </c>
      <c r="AA670" s="30">
        <v>1</v>
      </c>
      <c r="AB670" s="29">
        <v>6000</v>
      </c>
      <c r="AC670" s="29">
        <v>3</v>
      </c>
      <c r="AD670" s="29">
        <v>0</v>
      </c>
      <c r="AE670" s="29">
        <v>0</v>
      </c>
      <c r="AF670" s="29">
        <v>0</v>
      </c>
      <c r="AG670" s="29">
        <v>0</v>
      </c>
      <c r="AH670" s="2" t="e">
        <v>#N/A</v>
      </c>
      <c r="AI670" s="2" t="e">
        <v>#N/A</v>
      </c>
      <c r="AJ670" s="2" t="s">
        <v>5</v>
      </c>
      <c r="AK670" s="2" t="s">
        <v>5</v>
      </c>
    </row>
    <row r="671" spans="3:37" ht="12.5">
      <c r="C671" s="2" t="str">
        <f ca="1"/>
        <v/>
      </c>
      <c r="D671" s="2" t="str">
        <v/>
      </c>
      <c r="E671" s="29" t="str">
        <v/>
      </c>
      <c r="F671" s="30" t="str">
        <v/>
      </c>
      <c r="G671" s="29" t="str">
        <v/>
      </c>
      <c r="H671" s="30" t="str">
        <v/>
      </c>
      <c r="I671" s="29" t="str">
        <v/>
      </c>
      <c r="J671" s="29" t="str">
        <v/>
      </c>
      <c r="K671" s="29" t="str">
        <v/>
      </c>
      <c r="L671" s="29" t="str">
        <v/>
      </c>
      <c r="M671" s="29" t="str">
        <v/>
      </c>
      <c r="N671" s="29" t="str">
        <v/>
      </c>
      <c r="O671" s="2" t="str">
        <f ca="1"/>
        <v/>
      </c>
      <c r="P671" s="2" t="str">
        <f ca="1"/>
        <v/>
      </c>
      <c r="Q671" s="2" t="s">
        <v>5</v>
      </c>
      <c r="R671" s="2" t="s">
        <v>5</v>
      </c>
      <c r="U671" s="2" t="s">
        <v>223</v>
      </c>
      <c r="V671" s="2" t="e">
        <v>#N/A</v>
      </c>
      <c r="W671" s="2">
        <v>2500</v>
      </c>
      <c r="X671" s="29">
        <v>0</v>
      </c>
      <c r="Y671" s="30">
        <v>0</v>
      </c>
      <c r="Z671" s="29">
        <v>2500</v>
      </c>
      <c r="AA671" s="30">
        <v>1</v>
      </c>
      <c r="AB671" s="29">
        <v>0</v>
      </c>
      <c r="AC671" s="29">
        <v>0</v>
      </c>
      <c r="AD671" s="29">
        <v>2000</v>
      </c>
      <c r="AE671" s="29">
        <v>1</v>
      </c>
      <c r="AF671" s="29">
        <v>0</v>
      </c>
      <c r="AG671" s="29">
        <v>0</v>
      </c>
      <c r="AH671" s="2" t="e">
        <v>#N/A</v>
      </c>
      <c r="AI671" s="2" t="e">
        <v>#N/A</v>
      </c>
      <c r="AJ671" s="2" t="s">
        <v>5</v>
      </c>
      <c r="AK671" s="2" t="s">
        <v>5</v>
      </c>
    </row>
    <row r="672" spans="3:37" ht="12.5">
      <c r="C672" s="2" t="str">
        <f ca="1"/>
        <v/>
      </c>
      <c r="D672" s="2" t="str">
        <v/>
      </c>
      <c r="E672" s="29" t="str">
        <v/>
      </c>
      <c r="F672" s="30" t="str">
        <v/>
      </c>
      <c r="G672" s="29" t="str">
        <v/>
      </c>
      <c r="H672" s="30" t="str">
        <v/>
      </c>
      <c r="I672" s="29" t="str">
        <v/>
      </c>
      <c r="J672" s="29" t="str">
        <v/>
      </c>
      <c r="K672" s="29" t="str">
        <v/>
      </c>
      <c r="L672" s="29" t="str">
        <v/>
      </c>
      <c r="M672" s="29" t="str">
        <v/>
      </c>
      <c r="N672" s="29" t="str">
        <v/>
      </c>
      <c r="O672" s="2" t="str">
        <f ca="1"/>
        <v/>
      </c>
      <c r="P672" s="2" t="str">
        <f ca="1"/>
        <v/>
      </c>
      <c r="Q672" s="2" t="s">
        <v>5</v>
      </c>
      <c r="R672" s="2" t="s">
        <v>5</v>
      </c>
      <c r="U672" s="2" t="s">
        <v>224</v>
      </c>
      <c r="V672" s="2" t="e">
        <v>#N/A</v>
      </c>
      <c r="W672" s="2">
        <v>2500</v>
      </c>
      <c r="X672" s="29">
        <v>0</v>
      </c>
      <c r="Y672" s="30">
        <v>0</v>
      </c>
      <c r="Z672" s="29">
        <v>2500</v>
      </c>
      <c r="AA672" s="30">
        <v>1</v>
      </c>
      <c r="AB672" s="29">
        <v>0</v>
      </c>
      <c r="AC672" s="29">
        <v>0</v>
      </c>
      <c r="AD672" s="29">
        <v>0</v>
      </c>
      <c r="AE672" s="29">
        <v>0</v>
      </c>
      <c r="AF672" s="29">
        <v>0</v>
      </c>
      <c r="AG672" s="29">
        <v>0</v>
      </c>
      <c r="AH672" s="2" t="e">
        <v>#N/A</v>
      </c>
      <c r="AI672" s="2" t="e">
        <v>#N/A</v>
      </c>
      <c r="AJ672" s="2" t="s">
        <v>5</v>
      </c>
      <c r="AK672" s="2" t="s">
        <v>5</v>
      </c>
    </row>
    <row r="673" spans="3:37" ht="12.5">
      <c r="C673" s="2" t="str">
        <f ca="1"/>
        <v/>
      </c>
      <c r="D673" s="2" t="str">
        <v/>
      </c>
      <c r="E673" s="29" t="str">
        <v/>
      </c>
      <c r="F673" s="30" t="str">
        <v/>
      </c>
      <c r="G673" s="29" t="str">
        <v/>
      </c>
      <c r="H673" s="30" t="str">
        <v/>
      </c>
      <c r="I673" s="29" t="str">
        <v/>
      </c>
      <c r="J673" s="29" t="str">
        <v/>
      </c>
      <c r="K673" s="29" t="str">
        <v/>
      </c>
      <c r="L673" s="29" t="str">
        <v/>
      </c>
      <c r="M673" s="29" t="str">
        <v/>
      </c>
      <c r="N673" s="29" t="str">
        <v/>
      </c>
      <c r="O673" s="2" t="str">
        <f ca="1"/>
        <v/>
      </c>
      <c r="P673" s="2" t="str">
        <f ca="1"/>
        <v/>
      </c>
      <c r="Q673" s="2" t="s">
        <v>5</v>
      </c>
      <c r="R673" s="2" t="s">
        <v>5</v>
      </c>
      <c r="U673" s="2" t="s">
        <v>315</v>
      </c>
      <c r="V673" s="2" t="e">
        <v>#N/A</v>
      </c>
      <c r="W673" s="2">
        <v>0</v>
      </c>
      <c r="X673" s="29">
        <v>0</v>
      </c>
      <c r="Y673" s="30">
        <v>0</v>
      </c>
      <c r="Z673" s="29">
        <v>0</v>
      </c>
      <c r="AA673" s="30">
        <v>0</v>
      </c>
      <c r="AB673" s="29">
        <v>2000</v>
      </c>
      <c r="AC673" s="29">
        <v>1</v>
      </c>
      <c r="AD673" s="29">
        <v>0</v>
      </c>
      <c r="AE673" s="29">
        <v>0</v>
      </c>
      <c r="AF673" s="29">
        <v>0</v>
      </c>
      <c r="AG673" s="29">
        <v>0</v>
      </c>
      <c r="AH673" s="2" t="e">
        <v>#N/A</v>
      </c>
      <c r="AI673" s="2" t="e">
        <v>#N/A</v>
      </c>
      <c r="AJ673" s="2" t="s">
        <v>5</v>
      </c>
      <c r="AK673" s="2" t="s">
        <v>5</v>
      </c>
    </row>
    <row r="674" spans="3:37" ht="12.5">
      <c r="C674" s="2" t="str">
        <f ca="1"/>
        <v/>
      </c>
      <c r="D674" s="2" t="str">
        <v/>
      </c>
      <c r="E674" s="29" t="str">
        <v/>
      </c>
      <c r="F674" s="30" t="str">
        <v/>
      </c>
      <c r="G674" s="29" t="str">
        <v/>
      </c>
      <c r="H674" s="30" t="str">
        <v/>
      </c>
      <c r="I674" s="29" t="str">
        <v/>
      </c>
      <c r="J674" s="29" t="str">
        <v/>
      </c>
      <c r="K674" s="29" t="str">
        <v/>
      </c>
      <c r="L674" s="29" t="str">
        <v/>
      </c>
      <c r="M674" s="29" t="str">
        <v/>
      </c>
      <c r="N674" s="29" t="str">
        <v/>
      </c>
      <c r="O674" s="2" t="str">
        <f ca="1"/>
        <v/>
      </c>
      <c r="P674" s="2" t="str">
        <f ca="1"/>
        <v/>
      </c>
      <c r="Q674" s="2" t="s">
        <v>5</v>
      </c>
      <c r="R674" s="2" t="s">
        <v>5</v>
      </c>
      <c r="U674" s="2" t="s">
        <v>291</v>
      </c>
      <c r="V674" s="2" t="e">
        <v>#N/A</v>
      </c>
      <c r="W674" s="2">
        <v>0</v>
      </c>
      <c r="X674" s="29">
        <v>0</v>
      </c>
      <c r="Y674" s="30">
        <v>0</v>
      </c>
      <c r="Z674" s="29">
        <v>0</v>
      </c>
      <c r="AA674" s="30">
        <v>0</v>
      </c>
      <c r="AB674" s="29">
        <v>10000</v>
      </c>
      <c r="AC674" s="29">
        <v>5</v>
      </c>
      <c r="AD674" s="29">
        <v>4000</v>
      </c>
      <c r="AE674" s="29">
        <v>2</v>
      </c>
      <c r="AF674" s="29">
        <v>0</v>
      </c>
      <c r="AG674" s="29">
        <v>0</v>
      </c>
      <c r="AH674" s="2" t="e">
        <v>#N/A</v>
      </c>
      <c r="AI674" s="2" t="e">
        <v>#N/A</v>
      </c>
      <c r="AJ674" s="2" t="s">
        <v>5</v>
      </c>
      <c r="AK674" s="2" t="s">
        <v>5</v>
      </c>
    </row>
    <row r="675" spans="3:37" ht="12.5">
      <c r="C675" s="2" t="str">
        <f ca="1"/>
        <v/>
      </c>
      <c r="D675" s="2" t="str">
        <v/>
      </c>
      <c r="E675" s="29" t="str">
        <v/>
      </c>
      <c r="F675" s="30" t="str">
        <v/>
      </c>
      <c r="G675" s="29" t="str">
        <v/>
      </c>
      <c r="H675" s="30" t="str">
        <v/>
      </c>
      <c r="I675" s="29" t="str">
        <v/>
      </c>
      <c r="J675" s="29" t="str">
        <v/>
      </c>
      <c r="K675" s="29" t="str">
        <v/>
      </c>
      <c r="L675" s="29" t="str">
        <v/>
      </c>
      <c r="M675" s="29" t="str">
        <v/>
      </c>
      <c r="N675" s="29" t="str">
        <v/>
      </c>
      <c r="O675" s="2" t="str">
        <f ca="1"/>
        <v/>
      </c>
      <c r="P675" s="2" t="str">
        <f ca="1"/>
        <v/>
      </c>
      <c r="Q675" s="2" t="s">
        <v>5</v>
      </c>
      <c r="R675" s="2" t="s">
        <v>5</v>
      </c>
      <c r="U675" s="2" t="s">
        <v>318</v>
      </c>
      <c r="V675" s="2" t="e">
        <v>#N/A</v>
      </c>
      <c r="W675" s="2">
        <v>0</v>
      </c>
      <c r="X675" s="29">
        <v>0</v>
      </c>
      <c r="Y675" s="30">
        <v>0</v>
      </c>
      <c r="Z675" s="29">
        <v>0</v>
      </c>
      <c r="AA675" s="30">
        <v>0</v>
      </c>
      <c r="AB675" s="29">
        <v>2000</v>
      </c>
      <c r="AC675" s="29">
        <v>1</v>
      </c>
      <c r="AD675" s="29">
        <v>4000</v>
      </c>
      <c r="AE675" s="29">
        <v>2</v>
      </c>
      <c r="AF675" s="29">
        <v>0</v>
      </c>
      <c r="AG675" s="29">
        <v>0</v>
      </c>
      <c r="AH675" s="2" t="e">
        <v>#N/A</v>
      </c>
      <c r="AI675" s="2" t="e">
        <v>#N/A</v>
      </c>
      <c r="AJ675" s="2" t="s">
        <v>5</v>
      </c>
      <c r="AK675" s="2" t="s">
        <v>5</v>
      </c>
    </row>
    <row r="676" spans="3:37" ht="12.5">
      <c r="C676" s="2" t="str">
        <f ca="1"/>
        <v/>
      </c>
      <c r="D676" s="2" t="str">
        <v/>
      </c>
      <c r="E676" s="29" t="str">
        <v/>
      </c>
      <c r="F676" s="30" t="str">
        <v/>
      </c>
      <c r="G676" s="29" t="str">
        <v/>
      </c>
      <c r="H676" s="30" t="str">
        <v/>
      </c>
      <c r="I676" s="29" t="str">
        <v/>
      </c>
      <c r="J676" s="29" t="str">
        <v/>
      </c>
      <c r="K676" s="29" t="str">
        <v/>
      </c>
      <c r="L676" s="29" t="str">
        <v/>
      </c>
      <c r="M676" s="29" t="str">
        <v/>
      </c>
      <c r="N676" s="29" t="str">
        <v/>
      </c>
      <c r="O676" s="2" t="str">
        <f ca="1"/>
        <v/>
      </c>
      <c r="P676" s="2" t="str">
        <f ca="1"/>
        <v/>
      </c>
      <c r="Q676" s="2" t="s">
        <v>5</v>
      </c>
      <c r="R676" s="2" t="s">
        <v>5</v>
      </c>
      <c r="U676" s="2" t="s">
        <v>319</v>
      </c>
      <c r="V676" s="2" t="e">
        <v>#N/A</v>
      </c>
      <c r="W676" s="2">
        <v>0</v>
      </c>
      <c r="X676" s="29">
        <v>0</v>
      </c>
      <c r="Y676" s="30">
        <v>0</v>
      </c>
      <c r="Z676" s="29">
        <v>0</v>
      </c>
      <c r="AA676" s="30">
        <v>0</v>
      </c>
      <c r="AB676" s="29">
        <v>4000</v>
      </c>
      <c r="AC676" s="29">
        <v>2</v>
      </c>
      <c r="AD676" s="29">
        <v>12000</v>
      </c>
      <c r="AE676" s="29">
        <v>6</v>
      </c>
      <c r="AF676" s="29">
        <v>0</v>
      </c>
      <c r="AG676" s="29">
        <v>0</v>
      </c>
      <c r="AH676" s="2" t="e">
        <v>#N/A</v>
      </c>
      <c r="AI676" s="2" t="e">
        <v>#N/A</v>
      </c>
      <c r="AJ676" s="2" t="s">
        <v>5</v>
      </c>
      <c r="AK676" s="2" t="s">
        <v>5</v>
      </c>
    </row>
    <row r="677" spans="3:37" ht="12.5">
      <c r="C677" s="2" t="str">
        <f ca="1"/>
        <v/>
      </c>
      <c r="D677" s="2" t="str">
        <v/>
      </c>
      <c r="E677" s="29" t="str">
        <v/>
      </c>
      <c r="F677" s="30" t="str">
        <v/>
      </c>
      <c r="G677" s="29" t="str">
        <v/>
      </c>
      <c r="H677" s="30" t="str">
        <v/>
      </c>
      <c r="I677" s="29" t="str">
        <v/>
      </c>
      <c r="J677" s="29" t="str">
        <v/>
      </c>
      <c r="K677" s="29" t="str">
        <v/>
      </c>
      <c r="L677" s="29" t="str">
        <v/>
      </c>
      <c r="M677" s="29" t="str">
        <v/>
      </c>
      <c r="N677" s="29" t="str">
        <v/>
      </c>
      <c r="O677" s="2" t="str">
        <f ca="1"/>
        <v/>
      </c>
      <c r="P677" s="2" t="str">
        <f ca="1"/>
        <v/>
      </c>
      <c r="Q677" s="2" t="s">
        <v>5</v>
      </c>
      <c r="R677" s="2" t="s">
        <v>5</v>
      </c>
      <c r="U677" s="2" t="s">
        <v>322</v>
      </c>
      <c r="V677" s="2" t="e">
        <v>#N/A</v>
      </c>
      <c r="W677" s="2">
        <v>0</v>
      </c>
      <c r="X677" s="29">
        <v>0</v>
      </c>
      <c r="Y677" s="30">
        <v>0</v>
      </c>
      <c r="Z677" s="29">
        <v>0</v>
      </c>
      <c r="AA677" s="30">
        <v>0</v>
      </c>
      <c r="AB677" s="29">
        <v>6000</v>
      </c>
      <c r="AC677" s="29">
        <v>3</v>
      </c>
      <c r="AD677" s="29">
        <v>6000</v>
      </c>
      <c r="AE677" s="29">
        <v>3</v>
      </c>
      <c r="AF677" s="29">
        <v>0</v>
      </c>
      <c r="AG677" s="29">
        <v>0</v>
      </c>
      <c r="AH677" s="2" t="e">
        <v>#N/A</v>
      </c>
      <c r="AI677" s="2" t="e">
        <v>#N/A</v>
      </c>
      <c r="AJ677" s="2" t="s">
        <v>5</v>
      </c>
      <c r="AK677" s="2" t="s">
        <v>5</v>
      </c>
    </row>
    <row r="678" spans="3:37" ht="12.5">
      <c r="C678" s="2" t="str">
        <f ca="1"/>
        <v/>
      </c>
      <c r="D678" s="2" t="str">
        <v/>
      </c>
      <c r="E678" s="29" t="str">
        <v/>
      </c>
      <c r="F678" s="30" t="str">
        <v/>
      </c>
      <c r="G678" s="29" t="str">
        <v/>
      </c>
      <c r="H678" s="30" t="str">
        <v/>
      </c>
      <c r="I678" s="29" t="str">
        <v/>
      </c>
      <c r="J678" s="29" t="str">
        <v/>
      </c>
      <c r="K678" s="29" t="str">
        <v/>
      </c>
      <c r="L678" s="29" t="str">
        <v/>
      </c>
      <c r="M678" s="29" t="str">
        <v/>
      </c>
      <c r="N678" s="29" t="str">
        <v/>
      </c>
      <c r="O678" s="2" t="str">
        <f ca="1"/>
        <v/>
      </c>
      <c r="P678" s="2" t="str">
        <f ca="1"/>
        <v/>
      </c>
      <c r="Q678" s="2" t="s">
        <v>5</v>
      </c>
      <c r="R678" s="2" t="s">
        <v>5</v>
      </c>
      <c r="U678" s="2" t="s">
        <v>324</v>
      </c>
      <c r="V678" s="2" t="e">
        <v>#N/A</v>
      </c>
      <c r="W678" s="2">
        <v>0</v>
      </c>
      <c r="X678" s="29">
        <v>0</v>
      </c>
      <c r="Y678" s="30">
        <v>0</v>
      </c>
      <c r="Z678" s="29">
        <v>0</v>
      </c>
      <c r="AA678" s="30">
        <v>0</v>
      </c>
      <c r="AB678" s="29">
        <v>2000</v>
      </c>
      <c r="AC678" s="29">
        <v>1</v>
      </c>
      <c r="AD678" s="29">
        <v>0</v>
      </c>
      <c r="AE678" s="29">
        <v>0</v>
      </c>
      <c r="AF678" s="29">
        <v>0</v>
      </c>
      <c r="AG678" s="29">
        <v>0</v>
      </c>
      <c r="AH678" s="2" t="e">
        <v>#N/A</v>
      </c>
      <c r="AI678" s="2" t="e">
        <v>#N/A</v>
      </c>
      <c r="AJ678" s="2" t="s">
        <v>5</v>
      </c>
      <c r="AK678" s="2" t="s">
        <v>5</v>
      </c>
    </row>
    <row r="679" spans="3:37" ht="12.5">
      <c r="C679" s="2" t="str">
        <f ca="1"/>
        <v/>
      </c>
      <c r="D679" s="2" t="str">
        <v/>
      </c>
      <c r="E679" s="29" t="str">
        <v/>
      </c>
      <c r="F679" s="30" t="str">
        <v/>
      </c>
      <c r="G679" s="29" t="str">
        <v/>
      </c>
      <c r="H679" s="30" t="str">
        <v/>
      </c>
      <c r="I679" s="29" t="str">
        <v/>
      </c>
      <c r="J679" s="29" t="str">
        <v/>
      </c>
      <c r="K679" s="29" t="str">
        <v/>
      </c>
      <c r="L679" s="29" t="str">
        <v/>
      </c>
      <c r="M679" s="29" t="str">
        <v/>
      </c>
      <c r="N679" s="29" t="str">
        <v/>
      </c>
      <c r="O679" s="2" t="str">
        <f ca="1"/>
        <v/>
      </c>
      <c r="P679" s="2" t="str">
        <f ca="1"/>
        <v/>
      </c>
      <c r="Q679" s="2" t="s">
        <v>5</v>
      </c>
      <c r="R679" s="2" t="s">
        <v>5</v>
      </c>
      <c r="U679" s="2" t="s">
        <v>325</v>
      </c>
      <c r="V679" s="2" t="e">
        <v>#N/A</v>
      </c>
      <c r="W679" s="2">
        <v>0</v>
      </c>
      <c r="X679" s="29">
        <v>0</v>
      </c>
      <c r="Y679" s="30">
        <v>0</v>
      </c>
      <c r="Z679" s="29">
        <v>0</v>
      </c>
      <c r="AA679" s="30">
        <v>0</v>
      </c>
      <c r="AB679" s="29">
        <v>2000</v>
      </c>
      <c r="AC679" s="29">
        <v>1</v>
      </c>
      <c r="AD679" s="29">
        <v>0</v>
      </c>
      <c r="AE679" s="29">
        <v>0</v>
      </c>
      <c r="AF679" s="29">
        <v>0</v>
      </c>
      <c r="AG679" s="29">
        <v>0</v>
      </c>
      <c r="AH679" s="2" t="e">
        <v>#N/A</v>
      </c>
      <c r="AI679" s="2" t="e">
        <v>#N/A</v>
      </c>
      <c r="AJ679" s="2" t="s">
        <v>5</v>
      </c>
      <c r="AK679" s="2" t="s">
        <v>5</v>
      </c>
    </row>
    <row r="680" spans="3:37" ht="12.5">
      <c r="C680" s="2" t="str">
        <f ca="1"/>
        <v/>
      </c>
      <c r="D680" s="2" t="str">
        <v/>
      </c>
      <c r="E680" s="29" t="str">
        <v/>
      </c>
      <c r="F680" s="30" t="str">
        <v/>
      </c>
      <c r="G680" s="29" t="str">
        <v/>
      </c>
      <c r="H680" s="30" t="str">
        <v/>
      </c>
      <c r="I680" s="29" t="str">
        <v/>
      </c>
      <c r="J680" s="29" t="str">
        <v/>
      </c>
      <c r="K680" s="29" t="str">
        <v/>
      </c>
      <c r="L680" s="29" t="str">
        <v/>
      </c>
      <c r="M680" s="29" t="str">
        <v/>
      </c>
      <c r="N680" s="29" t="str">
        <v/>
      </c>
      <c r="O680" s="2" t="str">
        <f ca="1"/>
        <v/>
      </c>
      <c r="P680" s="2" t="str">
        <f ca="1"/>
        <v/>
      </c>
      <c r="Q680" s="2" t="s">
        <v>5</v>
      </c>
      <c r="R680" s="2" t="s">
        <v>5</v>
      </c>
      <c r="U680" s="2" t="s">
        <v>329</v>
      </c>
      <c r="V680" s="2" t="e">
        <v>#N/A</v>
      </c>
      <c r="W680" s="2">
        <v>0</v>
      </c>
      <c r="X680" s="29">
        <v>0</v>
      </c>
      <c r="Y680" s="30">
        <v>0</v>
      </c>
      <c r="Z680" s="29">
        <v>0</v>
      </c>
      <c r="AA680" s="30">
        <v>0</v>
      </c>
      <c r="AB680" s="29">
        <v>2000</v>
      </c>
      <c r="AC680" s="29">
        <v>1</v>
      </c>
      <c r="AD680" s="29">
        <v>0</v>
      </c>
      <c r="AE680" s="29">
        <v>0</v>
      </c>
      <c r="AF680" s="29">
        <v>0</v>
      </c>
      <c r="AG680" s="29">
        <v>0</v>
      </c>
      <c r="AH680" s="2" t="e">
        <v>#N/A</v>
      </c>
      <c r="AI680" s="2" t="e">
        <v>#N/A</v>
      </c>
      <c r="AJ680" s="2" t="s">
        <v>5</v>
      </c>
      <c r="AK680" s="2" t="s">
        <v>5</v>
      </c>
    </row>
    <row r="681" spans="3:37" ht="12.5">
      <c r="C681" s="2" t="str">
        <f ca="1"/>
        <v/>
      </c>
      <c r="D681" s="2" t="str">
        <v/>
      </c>
      <c r="E681" s="29" t="str">
        <v/>
      </c>
      <c r="F681" s="30" t="str">
        <v/>
      </c>
      <c r="G681" s="29" t="str">
        <v/>
      </c>
      <c r="H681" s="30" t="str">
        <v/>
      </c>
      <c r="I681" s="29" t="str">
        <v/>
      </c>
      <c r="J681" s="29" t="str">
        <v/>
      </c>
      <c r="K681" s="29" t="str">
        <v/>
      </c>
      <c r="L681" s="29" t="str">
        <v/>
      </c>
      <c r="M681" s="29" t="str">
        <v/>
      </c>
      <c r="N681" s="29" t="str">
        <v/>
      </c>
      <c r="O681" s="2" t="str">
        <f ca="1"/>
        <v/>
      </c>
      <c r="P681" s="2" t="str">
        <f ca="1"/>
        <v/>
      </c>
      <c r="Q681" s="2" t="s">
        <v>5</v>
      </c>
      <c r="R681" s="2" t="s">
        <v>5</v>
      </c>
      <c r="U681" s="2" t="s">
        <v>330</v>
      </c>
      <c r="V681" s="2" t="e">
        <v>#N/A</v>
      </c>
      <c r="W681" s="2">
        <v>0</v>
      </c>
      <c r="X681" s="29">
        <v>0</v>
      </c>
      <c r="Y681" s="30">
        <v>0</v>
      </c>
      <c r="Z681" s="29">
        <v>0</v>
      </c>
      <c r="AA681" s="30">
        <v>0</v>
      </c>
      <c r="AB681" s="29">
        <v>4000</v>
      </c>
      <c r="AC681" s="29">
        <v>2</v>
      </c>
      <c r="AD681" s="29">
        <v>6000</v>
      </c>
      <c r="AE681" s="29">
        <v>3</v>
      </c>
      <c r="AF681" s="29">
        <v>0</v>
      </c>
      <c r="AG681" s="29">
        <v>0</v>
      </c>
      <c r="AH681" s="2" t="e">
        <v>#N/A</v>
      </c>
      <c r="AI681" s="2" t="e">
        <v>#N/A</v>
      </c>
      <c r="AJ681" s="2" t="s">
        <v>5</v>
      </c>
      <c r="AK681" s="2" t="s">
        <v>5</v>
      </c>
    </row>
    <row r="682" spans="3:37" ht="12.5">
      <c r="C682" s="2" t="str">
        <f ca="1"/>
        <v/>
      </c>
      <c r="D682" s="2" t="str">
        <v/>
      </c>
      <c r="E682" s="29" t="str">
        <v/>
      </c>
      <c r="F682" s="30" t="str">
        <v/>
      </c>
      <c r="G682" s="29" t="str">
        <v/>
      </c>
      <c r="H682" s="30" t="str">
        <v/>
      </c>
      <c r="I682" s="29" t="str">
        <v/>
      </c>
      <c r="J682" s="29" t="str">
        <v/>
      </c>
      <c r="K682" s="29" t="str">
        <v/>
      </c>
      <c r="L682" s="29" t="str">
        <v/>
      </c>
      <c r="M682" s="29" t="str">
        <v/>
      </c>
      <c r="N682" s="29" t="str">
        <v/>
      </c>
      <c r="O682" s="2" t="str">
        <f ca="1"/>
        <v/>
      </c>
      <c r="P682" s="2" t="str">
        <f ca="1"/>
        <v/>
      </c>
      <c r="Q682" s="2" t="s">
        <v>5</v>
      </c>
      <c r="R682" s="2" t="s">
        <v>5</v>
      </c>
      <c r="U682" s="2" t="s">
        <v>333</v>
      </c>
      <c r="V682" s="2" t="e">
        <v>#N/A</v>
      </c>
      <c r="W682" s="2">
        <v>0</v>
      </c>
      <c r="X682" s="29">
        <v>0</v>
      </c>
      <c r="Y682" s="30">
        <v>0</v>
      </c>
      <c r="Z682" s="29">
        <v>0</v>
      </c>
      <c r="AA682" s="30">
        <v>0</v>
      </c>
      <c r="AB682" s="29">
        <v>6000</v>
      </c>
      <c r="AC682" s="29">
        <v>3</v>
      </c>
      <c r="AD682" s="29">
        <v>6000</v>
      </c>
      <c r="AE682" s="29">
        <v>3</v>
      </c>
      <c r="AF682" s="29">
        <v>0</v>
      </c>
      <c r="AG682" s="29">
        <v>0</v>
      </c>
      <c r="AH682" s="2" t="e">
        <v>#N/A</v>
      </c>
      <c r="AI682" s="2" t="e">
        <v>#N/A</v>
      </c>
      <c r="AJ682" s="2" t="s">
        <v>5</v>
      </c>
      <c r="AK682" s="2" t="s">
        <v>5</v>
      </c>
    </row>
    <row r="683" spans="3:37" ht="12.5">
      <c r="C683" s="2" t="str">
        <f ca="1"/>
        <v/>
      </c>
      <c r="D683" s="2" t="str">
        <v/>
      </c>
      <c r="E683" s="29" t="str">
        <v/>
      </c>
      <c r="F683" s="30" t="str">
        <v/>
      </c>
      <c r="G683" s="29" t="str">
        <v/>
      </c>
      <c r="H683" s="30" t="str">
        <v/>
      </c>
      <c r="I683" s="29" t="str">
        <v/>
      </c>
      <c r="J683" s="29" t="str">
        <v/>
      </c>
      <c r="K683" s="29" t="str">
        <v/>
      </c>
      <c r="L683" s="29" t="str">
        <v/>
      </c>
      <c r="M683" s="29" t="str">
        <v/>
      </c>
      <c r="N683" s="29" t="str">
        <v/>
      </c>
      <c r="O683" s="2" t="str">
        <f ca="1"/>
        <v/>
      </c>
      <c r="P683" s="2" t="str">
        <f ca="1"/>
        <v/>
      </c>
      <c r="Q683" s="2" t="s">
        <v>5</v>
      </c>
      <c r="R683" s="2" t="s">
        <v>5</v>
      </c>
      <c r="U683" s="2" t="s">
        <v>334</v>
      </c>
      <c r="V683" s="2" t="e">
        <v>#N/A</v>
      </c>
      <c r="W683" s="2">
        <v>0</v>
      </c>
      <c r="X683" s="29">
        <v>0</v>
      </c>
      <c r="Y683" s="30">
        <v>0</v>
      </c>
      <c r="Z683" s="29">
        <v>0</v>
      </c>
      <c r="AA683" s="30">
        <v>0</v>
      </c>
      <c r="AB683" s="29">
        <v>2000</v>
      </c>
      <c r="AC683" s="29">
        <v>1</v>
      </c>
      <c r="AD683" s="29">
        <v>0</v>
      </c>
      <c r="AE683" s="29">
        <v>0</v>
      </c>
      <c r="AF683" s="29">
        <v>0</v>
      </c>
      <c r="AG683" s="29">
        <v>0</v>
      </c>
      <c r="AH683" s="2" t="e">
        <v>#N/A</v>
      </c>
      <c r="AI683" s="2" t="e">
        <v>#N/A</v>
      </c>
      <c r="AJ683" s="2" t="s">
        <v>5</v>
      </c>
      <c r="AK683" s="2" t="s">
        <v>5</v>
      </c>
    </row>
    <row r="684" spans="3:37" ht="12.5">
      <c r="C684" s="2" t="str">
        <f ca="1"/>
        <v/>
      </c>
      <c r="D684" s="2" t="str">
        <v/>
      </c>
      <c r="E684" s="29" t="str">
        <v/>
      </c>
      <c r="F684" s="30" t="str">
        <v/>
      </c>
      <c r="G684" s="29" t="str">
        <v/>
      </c>
      <c r="H684" s="30" t="str">
        <v/>
      </c>
      <c r="I684" s="29" t="str">
        <v/>
      </c>
      <c r="J684" s="29" t="str">
        <v/>
      </c>
      <c r="K684" s="29" t="str">
        <v/>
      </c>
      <c r="L684" s="29" t="str">
        <v/>
      </c>
      <c r="M684" s="29" t="str">
        <v/>
      </c>
      <c r="N684" s="29" t="str">
        <v/>
      </c>
      <c r="O684" s="2" t="str">
        <f ca="1"/>
        <v/>
      </c>
      <c r="P684" s="2" t="str">
        <f ca="1"/>
        <v/>
      </c>
      <c r="Q684" s="2" t="s">
        <v>5</v>
      </c>
      <c r="R684" s="2" t="s">
        <v>5</v>
      </c>
      <c r="U684" s="2" t="s">
        <v>337</v>
      </c>
      <c r="V684" s="2" t="e">
        <v>#N/A</v>
      </c>
      <c r="W684" s="2">
        <v>0</v>
      </c>
      <c r="X684" s="29">
        <v>0</v>
      </c>
      <c r="Y684" s="30">
        <v>0</v>
      </c>
      <c r="Z684" s="29">
        <v>0</v>
      </c>
      <c r="AA684" s="30">
        <v>0</v>
      </c>
      <c r="AB684" s="29">
        <v>4000</v>
      </c>
      <c r="AC684" s="29">
        <v>2</v>
      </c>
      <c r="AD684" s="29">
        <v>8000</v>
      </c>
      <c r="AE684" s="29">
        <v>4</v>
      </c>
      <c r="AF684" s="29">
        <v>0</v>
      </c>
      <c r="AG684" s="29">
        <v>0</v>
      </c>
      <c r="AH684" s="2" t="e">
        <v>#N/A</v>
      </c>
      <c r="AI684" s="2" t="e">
        <v>#N/A</v>
      </c>
      <c r="AJ684" s="2" t="s">
        <v>5</v>
      </c>
      <c r="AK684" s="2" t="s">
        <v>5</v>
      </c>
    </row>
    <row r="685" spans="3:37" ht="12.5">
      <c r="C685" s="2" t="str">
        <f ca="1"/>
        <v/>
      </c>
      <c r="D685" s="2" t="str">
        <v/>
      </c>
      <c r="E685" s="29" t="str">
        <v/>
      </c>
      <c r="F685" s="30" t="str">
        <v/>
      </c>
      <c r="G685" s="29" t="str">
        <v/>
      </c>
      <c r="H685" s="30" t="str">
        <v/>
      </c>
      <c r="I685" s="29" t="str">
        <v/>
      </c>
      <c r="J685" s="29" t="str">
        <v/>
      </c>
      <c r="K685" s="29" t="str">
        <v/>
      </c>
      <c r="L685" s="29" t="str">
        <v/>
      </c>
      <c r="M685" s="29" t="str">
        <v/>
      </c>
      <c r="N685" s="29" t="str">
        <v/>
      </c>
      <c r="O685" s="2" t="str">
        <f ca="1"/>
        <v/>
      </c>
      <c r="P685" s="2" t="str">
        <f ca="1"/>
        <v/>
      </c>
      <c r="Q685" s="2" t="s">
        <v>5</v>
      </c>
      <c r="R685" s="2" t="s">
        <v>5</v>
      </c>
      <c r="U685" s="2" t="s">
        <v>341</v>
      </c>
      <c r="V685" s="2" t="e">
        <v>#N/A</v>
      </c>
      <c r="W685" s="2">
        <v>0</v>
      </c>
      <c r="X685" s="29">
        <v>0</v>
      </c>
      <c r="Y685" s="30">
        <v>0</v>
      </c>
      <c r="Z685" s="29">
        <v>0</v>
      </c>
      <c r="AA685" s="30">
        <v>0</v>
      </c>
      <c r="AB685" s="29">
        <v>6000</v>
      </c>
      <c r="AC685" s="29">
        <v>3</v>
      </c>
      <c r="AD685" s="29">
        <v>6000</v>
      </c>
      <c r="AE685" s="29">
        <v>3</v>
      </c>
      <c r="AF685" s="29">
        <v>0</v>
      </c>
      <c r="AG685" s="29">
        <v>0</v>
      </c>
      <c r="AH685" s="2" t="e">
        <v>#N/A</v>
      </c>
      <c r="AI685" s="2" t="e">
        <v>#N/A</v>
      </c>
      <c r="AJ685" s="2" t="s">
        <v>5</v>
      </c>
      <c r="AK685" s="2" t="s">
        <v>5</v>
      </c>
    </row>
    <row r="686" spans="3:37" ht="12.5">
      <c r="C686" s="2" t="str">
        <f ca="1"/>
        <v/>
      </c>
      <c r="D686" s="2" t="str">
        <v/>
      </c>
      <c r="E686" s="29" t="str">
        <v/>
      </c>
      <c r="F686" s="30" t="str">
        <v/>
      </c>
      <c r="G686" s="29" t="str">
        <v/>
      </c>
      <c r="H686" s="30" t="str">
        <v/>
      </c>
      <c r="I686" s="29" t="str">
        <v/>
      </c>
      <c r="J686" s="29" t="str">
        <v/>
      </c>
      <c r="K686" s="29" t="str">
        <v/>
      </c>
      <c r="L686" s="29" t="str">
        <v/>
      </c>
      <c r="M686" s="29" t="str">
        <v/>
      </c>
      <c r="N686" s="29" t="str">
        <v/>
      </c>
      <c r="O686" s="2" t="str">
        <f ca="1"/>
        <v/>
      </c>
      <c r="P686" s="2" t="str">
        <f ca="1"/>
        <v/>
      </c>
      <c r="Q686" s="2" t="s">
        <v>5</v>
      </c>
      <c r="R686" s="2" t="s">
        <v>5</v>
      </c>
      <c r="U686" s="2" t="s">
        <v>342</v>
      </c>
      <c r="V686" s="2" t="e">
        <v>#N/A</v>
      </c>
      <c r="W686" s="2">
        <v>0</v>
      </c>
      <c r="X686" s="29">
        <v>0</v>
      </c>
      <c r="Y686" s="30">
        <v>0</v>
      </c>
      <c r="Z686" s="29">
        <v>0</v>
      </c>
      <c r="AA686" s="30">
        <v>0</v>
      </c>
      <c r="AB686" s="29">
        <v>2000</v>
      </c>
      <c r="AC686" s="29">
        <v>1</v>
      </c>
      <c r="AD686" s="29">
        <v>2000</v>
      </c>
      <c r="AE686" s="29">
        <v>1</v>
      </c>
      <c r="AF686" s="29">
        <v>0</v>
      </c>
      <c r="AG686" s="29">
        <v>0</v>
      </c>
      <c r="AH686" s="2" t="e">
        <v>#N/A</v>
      </c>
      <c r="AI686" s="2" t="e">
        <v>#N/A</v>
      </c>
      <c r="AJ686" s="2" t="s">
        <v>5</v>
      </c>
      <c r="AK686" s="2" t="s">
        <v>5</v>
      </c>
    </row>
    <row r="687" spans="3:37" ht="12.5">
      <c r="C687" s="2" t="str">
        <f ca="1"/>
        <v/>
      </c>
      <c r="D687" s="2" t="str">
        <v/>
      </c>
      <c r="E687" s="29" t="str">
        <v/>
      </c>
      <c r="F687" s="30" t="str">
        <v/>
      </c>
      <c r="G687" s="29" t="str">
        <v/>
      </c>
      <c r="H687" s="30" t="str">
        <v/>
      </c>
      <c r="I687" s="29" t="str">
        <v/>
      </c>
      <c r="J687" s="29" t="str">
        <v/>
      </c>
      <c r="K687" s="29" t="str">
        <v/>
      </c>
      <c r="L687" s="29" t="str">
        <v/>
      </c>
      <c r="M687" s="29" t="str">
        <v/>
      </c>
      <c r="N687" s="29" t="str">
        <v/>
      </c>
      <c r="O687" s="2" t="str">
        <f ca="1"/>
        <v/>
      </c>
      <c r="P687" s="2" t="str">
        <f ca="1"/>
        <v/>
      </c>
      <c r="Q687" s="2" t="s">
        <v>5</v>
      </c>
      <c r="R687" s="2" t="s">
        <v>5</v>
      </c>
      <c r="U687" s="2" t="s">
        <v>344</v>
      </c>
      <c r="V687" s="2" t="e">
        <v>#N/A</v>
      </c>
      <c r="W687" s="2">
        <v>0</v>
      </c>
      <c r="X687" s="29">
        <v>0</v>
      </c>
      <c r="Y687" s="30">
        <v>0</v>
      </c>
      <c r="Z687" s="29">
        <v>0</v>
      </c>
      <c r="AA687" s="30">
        <v>0</v>
      </c>
      <c r="AB687" s="29">
        <v>8000</v>
      </c>
      <c r="AC687" s="29">
        <v>4</v>
      </c>
      <c r="AD687" s="29">
        <v>6000</v>
      </c>
      <c r="AE687" s="29">
        <v>3</v>
      </c>
      <c r="AF687" s="29">
        <v>0</v>
      </c>
      <c r="AG687" s="29">
        <v>0</v>
      </c>
      <c r="AH687" s="2" t="e">
        <v>#N/A</v>
      </c>
      <c r="AI687" s="2" t="e">
        <v>#N/A</v>
      </c>
      <c r="AJ687" s="2" t="s">
        <v>5</v>
      </c>
      <c r="AK687" s="2" t="s">
        <v>5</v>
      </c>
    </row>
    <row r="688" spans="3:37" ht="12.5">
      <c r="C688" s="2" t="str">
        <f ca="1"/>
        <v/>
      </c>
      <c r="D688" s="2" t="str">
        <v/>
      </c>
      <c r="E688" s="29" t="str">
        <v/>
      </c>
      <c r="F688" s="30" t="str">
        <v/>
      </c>
      <c r="G688" s="29" t="str">
        <v/>
      </c>
      <c r="H688" s="30" t="str">
        <v/>
      </c>
      <c r="I688" s="29" t="str">
        <v/>
      </c>
      <c r="J688" s="29" t="str">
        <v/>
      </c>
      <c r="K688" s="29" t="str">
        <v/>
      </c>
      <c r="L688" s="29" t="str">
        <v/>
      </c>
      <c r="M688" s="29" t="str">
        <v/>
      </c>
      <c r="N688" s="29" t="str">
        <v/>
      </c>
      <c r="O688" s="2" t="str">
        <f ca="1"/>
        <v/>
      </c>
      <c r="P688" s="2" t="str">
        <f ca="1"/>
        <v/>
      </c>
      <c r="Q688" s="2" t="s">
        <v>5</v>
      </c>
      <c r="R688" s="2" t="s">
        <v>5</v>
      </c>
      <c r="U688" s="2" t="s">
        <v>348</v>
      </c>
      <c r="V688" s="2" t="e">
        <v>#N/A</v>
      </c>
      <c r="W688" s="2">
        <v>0</v>
      </c>
      <c r="X688" s="29">
        <v>0</v>
      </c>
      <c r="Y688" s="30">
        <v>0</v>
      </c>
      <c r="Z688" s="29">
        <v>0</v>
      </c>
      <c r="AA688" s="30">
        <v>0</v>
      </c>
      <c r="AB688" s="29">
        <v>2000</v>
      </c>
      <c r="AC688" s="29">
        <v>1</v>
      </c>
      <c r="AD688" s="29">
        <v>0</v>
      </c>
      <c r="AE688" s="29">
        <v>0</v>
      </c>
      <c r="AF688" s="29">
        <v>0</v>
      </c>
      <c r="AG688" s="29">
        <v>0</v>
      </c>
      <c r="AH688" s="2" t="e">
        <v>#N/A</v>
      </c>
      <c r="AI688" s="2" t="e">
        <v>#N/A</v>
      </c>
      <c r="AJ688" s="2" t="s">
        <v>5</v>
      </c>
      <c r="AK688" s="2" t="s">
        <v>5</v>
      </c>
    </row>
    <row r="689" spans="3:37" ht="12.5">
      <c r="C689" s="2" t="str">
        <f ca="1"/>
        <v/>
      </c>
      <c r="D689" s="2" t="str">
        <v/>
      </c>
      <c r="E689" s="29" t="str">
        <v/>
      </c>
      <c r="F689" s="30" t="str">
        <v/>
      </c>
      <c r="G689" s="29" t="str">
        <v/>
      </c>
      <c r="H689" s="30" t="str">
        <v/>
      </c>
      <c r="I689" s="29" t="str">
        <v/>
      </c>
      <c r="J689" s="29" t="str">
        <v/>
      </c>
      <c r="K689" s="29" t="str">
        <v/>
      </c>
      <c r="L689" s="29" t="str">
        <v/>
      </c>
      <c r="M689" s="29" t="str">
        <v/>
      </c>
      <c r="N689" s="29" t="str">
        <v/>
      </c>
      <c r="O689" s="2" t="str">
        <f ca="1"/>
        <v/>
      </c>
      <c r="P689" s="2" t="str">
        <f ca="1"/>
        <v/>
      </c>
      <c r="Q689" s="2" t="s">
        <v>5</v>
      </c>
      <c r="R689" s="2" t="s">
        <v>5</v>
      </c>
      <c r="U689" s="2" t="s">
        <v>30</v>
      </c>
      <c r="V689" s="2" t="e">
        <v>#N/A</v>
      </c>
      <c r="W689" s="2">
        <v>0</v>
      </c>
      <c r="X689" s="29">
        <v>0</v>
      </c>
      <c r="Y689" s="30">
        <v>0</v>
      </c>
      <c r="Z689" s="29">
        <v>0</v>
      </c>
      <c r="AA689" s="30">
        <v>0</v>
      </c>
      <c r="AB689" s="29">
        <v>4000</v>
      </c>
      <c r="AC689" s="29">
        <v>2</v>
      </c>
      <c r="AD689" s="29">
        <v>2000</v>
      </c>
      <c r="AE689" s="29">
        <v>1</v>
      </c>
      <c r="AF689" s="29">
        <v>0</v>
      </c>
      <c r="AG689" s="29">
        <v>0</v>
      </c>
      <c r="AH689" s="2" t="e">
        <v>#N/A</v>
      </c>
      <c r="AI689" s="2" t="e">
        <v>#N/A</v>
      </c>
      <c r="AJ689" s="2" t="s">
        <v>5</v>
      </c>
      <c r="AK689" s="2" t="s">
        <v>5</v>
      </c>
    </row>
    <row r="690" spans="3:37" ht="12.5">
      <c r="C690" s="2" t="str">
        <f ca="1"/>
        <v/>
      </c>
      <c r="D690" s="2" t="str">
        <v/>
      </c>
      <c r="E690" s="29" t="str">
        <v/>
      </c>
      <c r="F690" s="30" t="str">
        <v/>
      </c>
      <c r="G690" s="29" t="str">
        <v/>
      </c>
      <c r="H690" s="30" t="str">
        <v/>
      </c>
      <c r="I690" s="29" t="str">
        <v/>
      </c>
      <c r="J690" s="29" t="str">
        <v/>
      </c>
      <c r="K690" s="29" t="str">
        <v/>
      </c>
      <c r="L690" s="29" t="str">
        <v/>
      </c>
      <c r="M690" s="29" t="str">
        <v/>
      </c>
      <c r="N690" s="29" t="str">
        <v/>
      </c>
      <c r="O690" s="2" t="str">
        <f ca="1"/>
        <v/>
      </c>
      <c r="P690" s="2" t="str">
        <f ca="1"/>
        <v/>
      </c>
      <c r="Q690" s="2" t="s">
        <v>5</v>
      </c>
      <c r="R690" s="2" t="s">
        <v>5</v>
      </c>
      <c r="U690" s="2" t="s">
        <v>350</v>
      </c>
      <c r="V690" s="2" t="e">
        <v>#N/A</v>
      </c>
      <c r="W690" s="2">
        <v>0</v>
      </c>
      <c r="X690" s="29">
        <v>0</v>
      </c>
      <c r="Y690" s="30">
        <v>0</v>
      </c>
      <c r="Z690" s="29">
        <v>0</v>
      </c>
      <c r="AA690" s="30">
        <v>0</v>
      </c>
      <c r="AB690" s="29">
        <v>2000</v>
      </c>
      <c r="AC690" s="29">
        <v>1</v>
      </c>
      <c r="AD690" s="29">
        <v>0</v>
      </c>
      <c r="AE690" s="29">
        <v>0</v>
      </c>
      <c r="AF690" s="29">
        <v>0</v>
      </c>
      <c r="AG690" s="29">
        <v>0</v>
      </c>
      <c r="AH690" s="2" t="e">
        <v>#N/A</v>
      </c>
      <c r="AI690" s="2" t="e">
        <v>#N/A</v>
      </c>
      <c r="AJ690" s="2" t="s">
        <v>5</v>
      </c>
      <c r="AK690" s="2" t="s">
        <v>5</v>
      </c>
    </row>
    <row r="691" spans="3:37" ht="12.5">
      <c r="C691" s="2" t="str">
        <f ca="1"/>
        <v/>
      </c>
      <c r="D691" s="2" t="str">
        <v/>
      </c>
      <c r="E691" s="29" t="str">
        <v/>
      </c>
      <c r="F691" s="30" t="str">
        <v/>
      </c>
      <c r="G691" s="29" t="str">
        <v/>
      </c>
      <c r="H691" s="30" t="str">
        <v/>
      </c>
      <c r="I691" s="29" t="str">
        <v/>
      </c>
      <c r="J691" s="29" t="str">
        <v/>
      </c>
      <c r="K691" s="29" t="str">
        <v/>
      </c>
      <c r="L691" s="29" t="str">
        <v/>
      </c>
      <c r="M691" s="29" t="str">
        <v/>
      </c>
      <c r="N691" s="29" t="str">
        <v/>
      </c>
      <c r="O691" s="2" t="str">
        <f ca="1"/>
        <v/>
      </c>
      <c r="P691" s="2" t="str">
        <f ca="1"/>
        <v/>
      </c>
      <c r="Q691" s="2" t="s">
        <v>5</v>
      </c>
      <c r="R691" s="2" t="s">
        <v>5</v>
      </c>
      <c r="U691" s="2" t="s">
        <v>351</v>
      </c>
      <c r="V691" s="2" t="e">
        <v>#N/A</v>
      </c>
      <c r="W691" s="2">
        <v>0</v>
      </c>
      <c r="X691" s="29">
        <v>0</v>
      </c>
      <c r="Y691" s="30">
        <v>0</v>
      </c>
      <c r="Z691" s="29">
        <v>0</v>
      </c>
      <c r="AA691" s="30">
        <v>0</v>
      </c>
      <c r="AB691" s="29">
        <v>2000</v>
      </c>
      <c r="AC691" s="29">
        <v>1</v>
      </c>
      <c r="AD691" s="29">
        <v>2000</v>
      </c>
      <c r="AE691" s="29">
        <v>1</v>
      </c>
      <c r="AF691" s="29">
        <v>0</v>
      </c>
      <c r="AG691" s="29">
        <v>0</v>
      </c>
      <c r="AH691" s="2" t="e">
        <v>#N/A</v>
      </c>
      <c r="AI691" s="2" t="e">
        <v>#N/A</v>
      </c>
      <c r="AJ691" s="2" t="s">
        <v>5</v>
      </c>
      <c r="AK691" s="2" t="s">
        <v>5</v>
      </c>
    </row>
    <row r="692" spans="3:37" ht="12.5">
      <c r="C692" s="2" t="str">
        <f ca="1"/>
        <v/>
      </c>
      <c r="D692" s="2" t="str">
        <v/>
      </c>
      <c r="E692" s="29" t="str">
        <v/>
      </c>
      <c r="F692" s="30" t="str">
        <v/>
      </c>
      <c r="G692" s="29" t="str">
        <v/>
      </c>
      <c r="H692" s="30" t="str">
        <v/>
      </c>
      <c r="I692" s="29" t="str">
        <v/>
      </c>
      <c r="J692" s="29" t="str">
        <v/>
      </c>
      <c r="K692" s="29" t="str">
        <v/>
      </c>
      <c r="L692" s="29" t="str">
        <v/>
      </c>
      <c r="M692" s="29" t="str">
        <v/>
      </c>
      <c r="N692" s="29" t="str">
        <v/>
      </c>
      <c r="O692" s="2" t="str">
        <f ca="1"/>
        <v/>
      </c>
      <c r="P692" s="2" t="str">
        <f ca="1"/>
        <v/>
      </c>
      <c r="Q692" s="2" t="s">
        <v>5</v>
      </c>
      <c r="R692" s="2" t="s">
        <v>5</v>
      </c>
      <c r="U692" s="2" t="s">
        <v>353</v>
      </c>
      <c r="V692" s="2" t="e">
        <v>#N/A</v>
      </c>
      <c r="W692" s="2">
        <v>0</v>
      </c>
      <c r="X692" s="29">
        <v>0</v>
      </c>
      <c r="Y692" s="30">
        <v>0</v>
      </c>
      <c r="Z692" s="29">
        <v>0</v>
      </c>
      <c r="AA692" s="30">
        <v>0</v>
      </c>
      <c r="AB692" s="29">
        <v>2000</v>
      </c>
      <c r="AC692" s="29">
        <v>1</v>
      </c>
      <c r="AD692" s="29">
        <v>0</v>
      </c>
      <c r="AE692" s="29">
        <v>0</v>
      </c>
      <c r="AF692" s="29">
        <v>0</v>
      </c>
      <c r="AG692" s="29">
        <v>0</v>
      </c>
      <c r="AH692" s="2" t="e">
        <v>#N/A</v>
      </c>
      <c r="AI692" s="2" t="e">
        <v>#N/A</v>
      </c>
      <c r="AJ692" s="2" t="s">
        <v>5</v>
      </c>
      <c r="AK692" s="2" t="s">
        <v>5</v>
      </c>
    </row>
    <row r="693" spans="3:37" ht="12.5">
      <c r="C693" s="2" t="str">
        <f ca="1"/>
        <v/>
      </c>
      <c r="D693" s="2" t="str">
        <v/>
      </c>
      <c r="E693" s="29" t="str">
        <v/>
      </c>
      <c r="F693" s="30" t="str">
        <v/>
      </c>
      <c r="G693" s="29" t="str">
        <v/>
      </c>
      <c r="H693" s="30" t="str">
        <v/>
      </c>
      <c r="I693" s="29" t="str">
        <v/>
      </c>
      <c r="J693" s="29" t="str">
        <v/>
      </c>
      <c r="K693" s="29" t="str">
        <v/>
      </c>
      <c r="L693" s="29" t="str">
        <v/>
      </c>
      <c r="M693" s="29" t="str">
        <v/>
      </c>
      <c r="N693" s="29" t="str">
        <v/>
      </c>
      <c r="O693" s="2" t="str">
        <f ca="1"/>
        <v/>
      </c>
      <c r="P693" s="2" t="str">
        <f ca="1"/>
        <v/>
      </c>
      <c r="Q693" s="2" t="s">
        <v>5</v>
      </c>
      <c r="R693" s="2" t="s">
        <v>5</v>
      </c>
      <c r="U693" s="2" t="s">
        <v>355</v>
      </c>
      <c r="V693" s="2" t="e">
        <v>#N/A</v>
      </c>
      <c r="W693" s="2">
        <v>0</v>
      </c>
      <c r="X693" s="29">
        <v>0</v>
      </c>
      <c r="Y693" s="30">
        <v>0</v>
      </c>
      <c r="Z693" s="29">
        <v>0</v>
      </c>
      <c r="AA693" s="30">
        <v>0</v>
      </c>
      <c r="AB693" s="29">
        <v>2000</v>
      </c>
      <c r="AC693" s="29">
        <v>1</v>
      </c>
      <c r="AD693" s="29">
        <v>6000</v>
      </c>
      <c r="AE693" s="29">
        <v>3</v>
      </c>
      <c r="AF693" s="29">
        <v>0</v>
      </c>
      <c r="AG693" s="29">
        <v>0</v>
      </c>
      <c r="AH693" s="2" t="e">
        <v>#N/A</v>
      </c>
      <c r="AI693" s="2" t="e">
        <v>#N/A</v>
      </c>
      <c r="AJ693" s="2" t="s">
        <v>5</v>
      </c>
      <c r="AK693" s="2" t="s">
        <v>5</v>
      </c>
    </row>
    <row r="694" spans="3:37" ht="12.5">
      <c r="C694" s="2" t="str">
        <f ca="1"/>
        <v/>
      </c>
      <c r="D694" s="2" t="str">
        <v/>
      </c>
      <c r="E694" s="29" t="str">
        <v/>
      </c>
      <c r="F694" s="30" t="str">
        <v/>
      </c>
      <c r="G694" s="29" t="str">
        <v/>
      </c>
      <c r="H694" s="30" t="str">
        <v/>
      </c>
      <c r="I694" s="29" t="str">
        <v/>
      </c>
      <c r="J694" s="29" t="str">
        <v/>
      </c>
      <c r="K694" s="29" t="str">
        <v/>
      </c>
      <c r="L694" s="29" t="str">
        <v/>
      </c>
      <c r="M694" s="29" t="str">
        <v/>
      </c>
      <c r="N694" s="29" t="str">
        <v/>
      </c>
      <c r="O694" s="2" t="str">
        <f ca="1"/>
        <v/>
      </c>
      <c r="P694" s="2" t="str">
        <f ca="1"/>
        <v/>
      </c>
      <c r="Q694" s="2" t="s">
        <v>5</v>
      </c>
      <c r="R694" s="2" t="s">
        <v>5</v>
      </c>
      <c r="U694" s="2" t="s">
        <v>359</v>
      </c>
      <c r="V694" s="2" t="e">
        <v>#N/A</v>
      </c>
      <c r="W694" s="2">
        <v>0</v>
      </c>
      <c r="X694" s="29">
        <v>0</v>
      </c>
      <c r="Y694" s="30">
        <v>0</v>
      </c>
      <c r="Z694" s="29">
        <v>0</v>
      </c>
      <c r="AA694" s="30">
        <v>0</v>
      </c>
      <c r="AB694" s="29">
        <v>2000</v>
      </c>
      <c r="AC694" s="29">
        <v>1</v>
      </c>
      <c r="AD694" s="29">
        <v>0</v>
      </c>
      <c r="AE694" s="29">
        <v>0</v>
      </c>
      <c r="AF694" s="29">
        <v>0</v>
      </c>
      <c r="AG694" s="29">
        <v>0</v>
      </c>
      <c r="AH694" s="2" t="e">
        <v>#N/A</v>
      </c>
      <c r="AI694" s="2" t="e">
        <v>#N/A</v>
      </c>
      <c r="AJ694" s="2" t="s">
        <v>5</v>
      </c>
      <c r="AK694" s="2" t="s">
        <v>5</v>
      </c>
    </row>
    <row r="695" spans="3:37" ht="12.5">
      <c r="C695" s="2" t="str">
        <f ca="1"/>
        <v/>
      </c>
      <c r="D695" s="2" t="str">
        <v/>
      </c>
      <c r="E695" s="29" t="str">
        <v/>
      </c>
      <c r="F695" s="30" t="str">
        <v/>
      </c>
      <c r="G695" s="29" t="str">
        <v/>
      </c>
      <c r="H695" s="30" t="str">
        <v/>
      </c>
      <c r="I695" s="29" t="str">
        <v/>
      </c>
      <c r="J695" s="29" t="str">
        <v/>
      </c>
      <c r="K695" s="29" t="str">
        <v/>
      </c>
      <c r="L695" s="29" t="str">
        <v/>
      </c>
      <c r="M695" s="29" t="str">
        <v/>
      </c>
      <c r="N695" s="29" t="str">
        <v/>
      </c>
      <c r="O695" s="2" t="str">
        <f ca="1"/>
        <v/>
      </c>
      <c r="P695" s="2" t="str">
        <f ca="1"/>
        <v/>
      </c>
      <c r="Q695" s="2" t="s">
        <v>5</v>
      </c>
      <c r="R695" s="2" t="s">
        <v>5</v>
      </c>
      <c r="U695" s="2" t="s">
        <v>362</v>
      </c>
      <c r="V695" s="2" t="e">
        <v>#N/A</v>
      </c>
      <c r="W695" s="2">
        <v>0</v>
      </c>
      <c r="X695" s="29">
        <v>0</v>
      </c>
      <c r="Y695" s="30">
        <v>0</v>
      </c>
      <c r="Z695" s="29">
        <v>0</v>
      </c>
      <c r="AA695" s="30">
        <v>0</v>
      </c>
      <c r="AB695" s="29">
        <v>2000</v>
      </c>
      <c r="AC695" s="29">
        <v>1</v>
      </c>
      <c r="AD695" s="29">
        <v>0</v>
      </c>
      <c r="AE695" s="29">
        <v>0</v>
      </c>
      <c r="AF695" s="29">
        <v>0</v>
      </c>
      <c r="AG695" s="29">
        <v>0</v>
      </c>
      <c r="AH695" s="2" t="e">
        <v>#N/A</v>
      </c>
      <c r="AI695" s="2" t="e">
        <v>#N/A</v>
      </c>
      <c r="AJ695" s="2" t="s">
        <v>5</v>
      </c>
      <c r="AK695" s="2" t="s">
        <v>5</v>
      </c>
    </row>
    <row r="696" spans="3:37" ht="12.5">
      <c r="C696" s="2" t="str">
        <f ca="1"/>
        <v/>
      </c>
      <c r="D696" s="2" t="str">
        <v/>
      </c>
      <c r="E696" s="29" t="str">
        <v/>
      </c>
      <c r="F696" s="30" t="str">
        <v/>
      </c>
      <c r="G696" s="29" t="str">
        <v/>
      </c>
      <c r="H696" s="30" t="str">
        <v/>
      </c>
      <c r="I696" s="29" t="str">
        <v/>
      </c>
      <c r="J696" s="29" t="str">
        <v/>
      </c>
      <c r="K696" s="29" t="str">
        <v/>
      </c>
      <c r="L696" s="29" t="str">
        <v/>
      </c>
      <c r="M696" s="29" t="str">
        <v/>
      </c>
      <c r="N696" s="29" t="str">
        <v/>
      </c>
      <c r="O696" s="2" t="str">
        <f ca="1"/>
        <v/>
      </c>
      <c r="P696" s="2" t="str">
        <f ca="1"/>
        <v/>
      </c>
      <c r="Q696" s="2" t="s">
        <v>5</v>
      </c>
      <c r="R696" s="2" t="s">
        <v>5</v>
      </c>
      <c r="U696" s="2" t="s">
        <v>364</v>
      </c>
      <c r="V696" s="2" t="e">
        <v>#N/A</v>
      </c>
      <c r="W696" s="2">
        <v>0</v>
      </c>
      <c r="X696" s="29">
        <v>0</v>
      </c>
      <c r="Y696" s="30">
        <v>0</v>
      </c>
      <c r="Z696" s="29">
        <v>0</v>
      </c>
      <c r="AA696" s="30">
        <v>0</v>
      </c>
      <c r="AB696" s="29">
        <v>2000</v>
      </c>
      <c r="AC696" s="29">
        <v>1</v>
      </c>
      <c r="AD696" s="29">
        <v>0</v>
      </c>
      <c r="AE696" s="29">
        <v>0</v>
      </c>
      <c r="AF696" s="29">
        <v>0</v>
      </c>
      <c r="AG696" s="29">
        <v>0</v>
      </c>
      <c r="AH696" s="2" t="e">
        <v>#N/A</v>
      </c>
      <c r="AI696" s="2" t="e">
        <v>#N/A</v>
      </c>
      <c r="AJ696" s="2" t="s">
        <v>5</v>
      </c>
      <c r="AK696" s="2" t="s">
        <v>5</v>
      </c>
    </row>
    <row r="697" spans="3:37" ht="12.5">
      <c r="C697" s="2" t="str">
        <f ca="1"/>
        <v/>
      </c>
      <c r="D697" s="2" t="str">
        <v/>
      </c>
      <c r="E697" s="29" t="str">
        <v/>
      </c>
      <c r="F697" s="30" t="str">
        <v/>
      </c>
      <c r="G697" s="29" t="str">
        <v/>
      </c>
      <c r="H697" s="30" t="str">
        <v/>
      </c>
      <c r="I697" s="29" t="str">
        <v/>
      </c>
      <c r="J697" s="29" t="str">
        <v/>
      </c>
      <c r="K697" s="29" t="str">
        <v/>
      </c>
      <c r="L697" s="29" t="str">
        <v/>
      </c>
      <c r="M697" s="29" t="str">
        <v/>
      </c>
      <c r="N697" s="29" t="str">
        <v/>
      </c>
      <c r="O697" s="2" t="str">
        <f ca="1"/>
        <v/>
      </c>
      <c r="P697" s="2" t="str">
        <f ca="1"/>
        <v/>
      </c>
      <c r="Q697" s="2" t="s">
        <v>5</v>
      </c>
      <c r="R697" s="2" t="s">
        <v>5</v>
      </c>
      <c r="U697" s="2" t="s">
        <v>365</v>
      </c>
      <c r="V697" s="2" t="e">
        <v>#N/A</v>
      </c>
      <c r="W697" s="2">
        <v>0</v>
      </c>
      <c r="X697" s="29">
        <v>0</v>
      </c>
      <c r="Y697" s="30">
        <v>0</v>
      </c>
      <c r="Z697" s="29">
        <v>0</v>
      </c>
      <c r="AA697" s="30">
        <v>0</v>
      </c>
      <c r="AB697" s="29">
        <v>2000</v>
      </c>
      <c r="AC697" s="29">
        <v>1</v>
      </c>
      <c r="AD697" s="29">
        <v>0</v>
      </c>
      <c r="AE697" s="29">
        <v>0</v>
      </c>
      <c r="AF697" s="29">
        <v>0</v>
      </c>
      <c r="AG697" s="29">
        <v>0</v>
      </c>
      <c r="AH697" s="2" t="e">
        <v>#N/A</v>
      </c>
      <c r="AI697" s="2" t="e">
        <v>#N/A</v>
      </c>
      <c r="AJ697" s="2" t="s">
        <v>5</v>
      </c>
      <c r="AK697" s="2" t="s">
        <v>5</v>
      </c>
    </row>
    <row r="698" spans="3:37" ht="12.5">
      <c r="C698" s="2" t="str">
        <f ca="1"/>
        <v/>
      </c>
      <c r="D698" s="2" t="str">
        <v/>
      </c>
      <c r="E698" s="29" t="str">
        <v/>
      </c>
      <c r="F698" s="30" t="str">
        <v/>
      </c>
      <c r="G698" s="29" t="str">
        <v/>
      </c>
      <c r="H698" s="30" t="str">
        <v/>
      </c>
      <c r="I698" s="29" t="str">
        <v/>
      </c>
      <c r="J698" s="29" t="str">
        <v/>
      </c>
      <c r="K698" s="29" t="str">
        <v/>
      </c>
      <c r="L698" s="29" t="str">
        <v/>
      </c>
      <c r="M698" s="29" t="str">
        <v/>
      </c>
      <c r="N698" s="29" t="str">
        <v/>
      </c>
      <c r="O698" s="2" t="str">
        <f ca="1"/>
        <v/>
      </c>
      <c r="P698" s="2" t="str">
        <f ca="1"/>
        <v/>
      </c>
      <c r="Q698" s="2" t="s">
        <v>5</v>
      </c>
      <c r="R698" s="2" t="s">
        <v>5</v>
      </c>
      <c r="U698" s="2" t="s">
        <v>367</v>
      </c>
      <c r="V698" s="2" t="e">
        <v>#N/A</v>
      </c>
      <c r="W698" s="2">
        <v>0</v>
      </c>
      <c r="X698" s="29">
        <v>0</v>
      </c>
      <c r="Y698" s="30">
        <v>0</v>
      </c>
      <c r="Z698" s="29">
        <v>0</v>
      </c>
      <c r="AA698" s="30">
        <v>0</v>
      </c>
      <c r="AB698" s="29">
        <v>2000</v>
      </c>
      <c r="AC698" s="29">
        <v>1</v>
      </c>
      <c r="AD698" s="29">
        <v>0</v>
      </c>
      <c r="AE698" s="29">
        <v>0</v>
      </c>
      <c r="AF698" s="29">
        <v>0</v>
      </c>
      <c r="AG698" s="29">
        <v>0</v>
      </c>
      <c r="AH698" s="2" t="e">
        <v>#N/A</v>
      </c>
      <c r="AI698" s="2" t="e">
        <v>#N/A</v>
      </c>
      <c r="AJ698" s="2" t="s">
        <v>5</v>
      </c>
      <c r="AK698" s="2" t="s">
        <v>5</v>
      </c>
    </row>
    <row r="699" spans="3:37" ht="12.5">
      <c r="C699" s="2" t="str">
        <f ca="1"/>
        <v/>
      </c>
      <c r="D699" s="2" t="str">
        <v/>
      </c>
      <c r="E699" s="29" t="str">
        <v/>
      </c>
      <c r="F699" s="30" t="str">
        <v/>
      </c>
      <c r="G699" s="29" t="str">
        <v/>
      </c>
      <c r="H699" s="30" t="str">
        <v/>
      </c>
      <c r="I699" s="29" t="str">
        <v/>
      </c>
      <c r="J699" s="29" t="str">
        <v/>
      </c>
      <c r="K699" s="29" t="str">
        <v/>
      </c>
      <c r="L699" s="29" t="str">
        <v/>
      </c>
      <c r="M699" s="29" t="str">
        <v/>
      </c>
      <c r="N699" s="29" t="str">
        <v/>
      </c>
      <c r="O699" s="2" t="str">
        <f ca="1"/>
        <v/>
      </c>
      <c r="P699" s="2" t="str">
        <f ca="1"/>
        <v/>
      </c>
      <c r="Q699" s="2" t="s">
        <v>5</v>
      </c>
      <c r="R699" s="2" t="s">
        <v>5</v>
      </c>
      <c r="U699" s="2" t="s">
        <v>368</v>
      </c>
      <c r="V699" s="2" t="e">
        <v>#N/A</v>
      </c>
      <c r="W699" s="2">
        <v>0</v>
      </c>
      <c r="X699" s="29">
        <v>0</v>
      </c>
      <c r="Y699" s="30">
        <v>0</v>
      </c>
      <c r="Z699" s="29">
        <v>0</v>
      </c>
      <c r="AA699" s="30">
        <v>0</v>
      </c>
      <c r="AB699" s="29">
        <v>6000</v>
      </c>
      <c r="AC699" s="29">
        <v>3</v>
      </c>
      <c r="AD699" s="29">
        <v>4000</v>
      </c>
      <c r="AE699" s="29">
        <v>2</v>
      </c>
      <c r="AF699" s="29">
        <v>0</v>
      </c>
      <c r="AG699" s="29">
        <v>0</v>
      </c>
      <c r="AH699" s="2" t="e">
        <v>#N/A</v>
      </c>
      <c r="AI699" s="2" t="e">
        <v>#N/A</v>
      </c>
      <c r="AJ699" s="2" t="s">
        <v>5</v>
      </c>
      <c r="AK699" s="2" t="s">
        <v>5</v>
      </c>
    </row>
    <row r="700" spans="3:37" ht="12.5">
      <c r="C700" s="2" t="str">
        <f ca="1"/>
        <v/>
      </c>
      <c r="D700" s="2" t="str">
        <v/>
      </c>
      <c r="E700" s="29" t="str">
        <v/>
      </c>
      <c r="F700" s="30" t="str">
        <v/>
      </c>
      <c r="G700" s="29" t="str">
        <v/>
      </c>
      <c r="H700" s="30" t="str">
        <v/>
      </c>
      <c r="I700" s="29" t="str">
        <v/>
      </c>
      <c r="J700" s="29" t="str">
        <v/>
      </c>
      <c r="K700" s="29" t="str">
        <v/>
      </c>
      <c r="L700" s="29" t="str">
        <v/>
      </c>
      <c r="M700" s="29" t="str">
        <v/>
      </c>
      <c r="N700" s="29" t="str">
        <v/>
      </c>
      <c r="O700" s="2" t="str">
        <f ca="1"/>
        <v/>
      </c>
      <c r="P700" s="2" t="str">
        <f ca="1"/>
        <v/>
      </c>
      <c r="Q700" s="2" t="s">
        <v>5</v>
      </c>
      <c r="R700" s="2" t="s">
        <v>5</v>
      </c>
      <c r="U700" s="2" t="s">
        <v>369</v>
      </c>
      <c r="V700" s="2" t="e">
        <v>#N/A</v>
      </c>
      <c r="W700" s="2">
        <v>0</v>
      </c>
      <c r="X700" s="29">
        <v>0</v>
      </c>
      <c r="Y700" s="30">
        <v>0</v>
      </c>
      <c r="Z700" s="29">
        <v>0</v>
      </c>
      <c r="AA700" s="30">
        <v>0</v>
      </c>
      <c r="AB700" s="29">
        <v>10000</v>
      </c>
      <c r="AC700" s="29">
        <v>5</v>
      </c>
      <c r="AD700" s="29">
        <v>6000</v>
      </c>
      <c r="AE700" s="29">
        <v>3</v>
      </c>
      <c r="AF700" s="29">
        <v>0</v>
      </c>
      <c r="AG700" s="29">
        <v>0</v>
      </c>
      <c r="AH700" s="2" t="e">
        <v>#N/A</v>
      </c>
      <c r="AI700" s="2" t="e">
        <v>#N/A</v>
      </c>
      <c r="AJ700" s="2" t="s">
        <v>5</v>
      </c>
      <c r="AK700" s="2" t="s">
        <v>5</v>
      </c>
    </row>
    <row r="701" spans="3:37" ht="12.5">
      <c r="C701" s="2" t="str">
        <f ca="1"/>
        <v/>
      </c>
      <c r="D701" s="2" t="str">
        <v/>
      </c>
      <c r="E701" s="29" t="str">
        <v/>
      </c>
      <c r="F701" s="30" t="str">
        <v/>
      </c>
      <c r="G701" s="29" t="str">
        <v/>
      </c>
      <c r="H701" s="30" t="str">
        <v/>
      </c>
      <c r="I701" s="29" t="str">
        <v/>
      </c>
      <c r="J701" s="29" t="str">
        <v/>
      </c>
      <c r="K701" s="29" t="str">
        <v/>
      </c>
      <c r="L701" s="29" t="str">
        <v/>
      </c>
      <c r="M701" s="29" t="str">
        <v/>
      </c>
      <c r="N701" s="29" t="str">
        <v/>
      </c>
      <c r="O701" s="2" t="str">
        <f ca="1"/>
        <v/>
      </c>
      <c r="P701" s="2" t="str">
        <f ca="1"/>
        <v/>
      </c>
      <c r="Q701" s="2" t="s">
        <v>5</v>
      </c>
      <c r="R701" s="2" t="s">
        <v>5</v>
      </c>
      <c r="U701" s="2" t="s">
        <v>370</v>
      </c>
      <c r="V701" s="2" t="e">
        <v>#N/A</v>
      </c>
      <c r="W701" s="2">
        <v>0</v>
      </c>
      <c r="X701" s="29">
        <v>0</v>
      </c>
      <c r="Y701" s="30">
        <v>0</v>
      </c>
      <c r="Z701" s="29">
        <v>0</v>
      </c>
      <c r="AA701" s="30">
        <v>0</v>
      </c>
      <c r="AB701" s="29">
        <v>2000</v>
      </c>
      <c r="AC701" s="29">
        <v>1</v>
      </c>
      <c r="AD701" s="29">
        <v>2000</v>
      </c>
      <c r="AE701" s="29">
        <v>1</v>
      </c>
      <c r="AF701" s="29">
        <v>0</v>
      </c>
      <c r="AG701" s="29">
        <v>0</v>
      </c>
      <c r="AH701" s="2" t="e">
        <v>#N/A</v>
      </c>
      <c r="AI701" s="2" t="e">
        <v>#N/A</v>
      </c>
      <c r="AJ701" s="2" t="s">
        <v>5</v>
      </c>
      <c r="AK701" s="2" t="s">
        <v>5</v>
      </c>
    </row>
    <row r="702" spans="3:37" ht="12.5">
      <c r="C702" s="2" t="str">
        <f ca="1"/>
        <v/>
      </c>
      <c r="D702" s="2" t="str">
        <v/>
      </c>
      <c r="E702" s="29" t="str">
        <v/>
      </c>
      <c r="F702" s="30" t="str">
        <v/>
      </c>
      <c r="G702" s="29" t="str">
        <v/>
      </c>
      <c r="H702" s="30" t="str">
        <v/>
      </c>
      <c r="I702" s="29" t="str">
        <v/>
      </c>
      <c r="J702" s="29" t="str">
        <v/>
      </c>
      <c r="K702" s="29" t="str">
        <v/>
      </c>
      <c r="L702" s="29" t="str">
        <v/>
      </c>
      <c r="M702" s="29" t="str">
        <v/>
      </c>
      <c r="N702" s="29" t="str">
        <v/>
      </c>
      <c r="O702" s="2" t="str">
        <f ca="1"/>
        <v/>
      </c>
      <c r="P702" s="2" t="str">
        <f ca="1"/>
        <v/>
      </c>
      <c r="Q702" s="2" t="s">
        <v>5</v>
      </c>
      <c r="R702" s="2" t="s">
        <v>5</v>
      </c>
      <c r="U702" s="2" t="s">
        <v>372</v>
      </c>
      <c r="V702" s="2" t="e">
        <v>#N/A</v>
      </c>
      <c r="W702" s="2">
        <v>0</v>
      </c>
      <c r="X702" s="29">
        <v>0</v>
      </c>
      <c r="Y702" s="30">
        <v>0</v>
      </c>
      <c r="Z702" s="29">
        <v>0</v>
      </c>
      <c r="AA702" s="30">
        <v>0</v>
      </c>
      <c r="AB702" s="29">
        <v>2000</v>
      </c>
      <c r="AC702" s="29">
        <v>1</v>
      </c>
      <c r="AD702" s="29">
        <v>8000</v>
      </c>
      <c r="AE702" s="29">
        <v>4</v>
      </c>
      <c r="AF702" s="29">
        <v>0</v>
      </c>
      <c r="AG702" s="29">
        <v>0</v>
      </c>
      <c r="AH702" s="2" t="e">
        <v>#N/A</v>
      </c>
      <c r="AI702" s="2" t="e">
        <v>#N/A</v>
      </c>
      <c r="AJ702" s="2" t="s">
        <v>5</v>
      </c>
      <c r="AK702" s="2" t="s">
        <v>5</v>
      </c>
    </row>
    <row r="703" spans="3:37" ht="12.5">
      <c r="C703" s="2" t="str">
        <f ca="1"/>
        <v/>
      </c>
      <c r="D703" s="2" t="str">
        <v/>
      </c>
      <c r="E703" s="29" t="str">
        <v/>
      </c>
      <c r="F703" s="30" t="str">
        <v/>
      </c>
      <c r="G703" s="29" t="str">
        <v/>
      </c>
      <c r="H703" s="30" t="str">
        <v/>
      </c>
      <c r="I703" s="29" t="str">
        <v/>
      </c>
      <c r="J703" s="29" t="str">
        <v/>
      </c>
      <c r="K703" s="29" t="str">
        <v/>
      </c>
      <c r="L703" s="29" t="str">
        <v/>
      </c>
      <c r="M703" s="29" t="str">
        <v/>
      </c>
      <c r="N703" s="29" t="str">
        <v/>
      </c>
      <c r="O703" s="2" t="str">
        <f ca="1"/>
        <v/>
      </c>
      <c r="P703" s="2" t="str">
        <f ca="1"/>
        <v/>
      </c>
      <c r="Q703" s="2" t="s">
        <v>5</v>
      </c>
      <c r="R703" s="2" t="s">
        <v>5</v>
      </c>
      <c r="U703" s="2" t="s">
        <v>374</v>
      </c>
      <c r="V703" s="2" t="e">
        <v>#N/A</v>
      </c>
      <c r="W703" s="2">
        <v>0</v>
      </c>
      <c r="X703" s="29">
        <v>0</v>
      </c>
      <c r="Y703" s="30">
        <v>0</v>
      </c>
      <c r="Z703" s="29">
        <v>0</v>
      </c>
      <c r="AA703" s="30">
        <v>0</v>
      </c>
      <c r="AB703" s="29">
        <v>2000</v>
      </c>
      <c r="AC703" s="29">
        <v>1</v>
      </c>
      <c r="AD703" s="29">
        <v>0</v>
      </c>
      <c r="AE703" s="29">
        <v>0</v>
      </c>
      <c r="AF703" s="29">
        <v>0</v>
      </c>
      <c r="AG703" s="29">
        <v>0</v>
      </c>
      <c r="AH703" s="2" t="e">
        <v>#N/A</v>
      </c>
      <c r="AI703" s="2" t="e">
        <v>#N/A</v>
      </c>
      <c r="AJ703" s="2" t="s">
        <v>5</v>
      </c>
      <c r="AK703" s="2" t="s">
        <v>5</v>
      </c>
    </row>
    <row r="704" spans="3:37" ht="12.5">
      <c r="C704" s="2" t="str">
        <f ca="1"/>
        <v/>
      </c>
      <c r="D704" s="2" t="str">
        <v/>
      </c>
      <c r="E704" s="29" t="str">
        <v/>
      </c>
      <c r="F704" s="30" t="str">
        <v/>
      </c>
      <c r="G704" s="29" t="str">
        <v/>
      </c>
      <c r="H704" s="30" t="str">
        <v/>
      </c>
      <c r="I704" s="29" t="str">
        <v/>
      </c>
      <c r="J704" s="29" t="str">
        <v/>
      </c>
      <c r="K704" s="29" t="str">
        <v/>
      </c>
      <c r="L704" s="29" t="str">
        <v/>
      </c>
      <c r="M704" s="29" t="str">
        <v/>
      </c>
      <c r="N704" s="29" t="str">
        <v/>
      </c>
      <c r="O704" s="2" t="str">
        <f ca="1"/>
        <v/>
      </c>
      <c r="P704" s="2" t="str">
        <f ca="1"/>
        <v/>
      </c>
      <c r="Q704" s="2" t="s">
        <v>5</v>
      </c>
      <c r="R704" s="2" t="s">
        <v>5</v>
      </c>
      <c r="U704" s="2" t="s">
        <v>375</v>
      </c>
      <c r="V704" s="2" t="e">
        <v>#N/A</v>
      </c>
      <c r="W704" s="2">
        <v>0</v>
      </c>
      <c r="X704" s="29">
        <v>0</v>
      </c>
      <c r="Y704" s="30">
        <v>0</v>
      </c>
      <c r="Z704" s="29">
        <v>0</v>
      </c>
      <c r="AA704" s="30">
        <v>0</v>
      </c>
      <c r="AB704" s="29">
        <v>2000</v>
      </c>
      <c r="AC704" s="29">
        <v>1</v>
      </c>
      <c r="AD704" s="29">
        <v>0</v>
      </c>
      <c r="AE704" s="29">
        <v>0</v>
      </c>
      <c r="AF704" s="29">
        <v>0</v>
      </c>
      <c r="AG704" s="29">
        <v>0</v>
      </c>
      <c r="AH704" s="2" t="e">
        <v>#N/A</v>
      </c>
      <c r="AI704" s="2" t="e">
        <v>#N/A</v>
      </c>
      <c r="AJ704" s="2" t="s">
        <v>5</v>
      </c>
      <c r="AK704" s="2" t="s">
        <v>5</v>
      </c>
    </row>
    <row r="705" spans="3:37" ht="12.5">
      <c r="C705" s="2" t="str">
        <f ca="1"/>
        <v/>
      </c>
      <c r="D705" s="2" t="str">
        <v/>
      </c>
      <c r="E705" s="29" t="str">
        <v/>
      </c>
      <c r="F705" s="30" t="str">
        <v/>
      </c>
      <c r="G705" s="29" t="str">
        <v/>
      </c>
      <c r="H705" s="30" t="str">
        <v/>
      </c>
      <c r="I705" s="29" t="str">
        <v/>
      </c>
      <c r="J705" s="29" t="str">
        <v/>
      </c>
      <c r="K705" s="29" t="str">
        <v/>
      </c>
      <c r="L705" s="29" t="str">
        <v/>
      </c>
      <c r="M705" s="29" t="str">
        <v/>
      </c>
      <c r="N705" s="29" t="str">
        <v/>
      </c>
      <c r="O705" s="2" t="str">
        <f ca="1"/>
        <v/>
      </c>
      <c r="P705" s="2" t="str">
        <f ca="1"/>
        <v/>
      </c>
      <c r="Q705" s="2" t="s">
        <v>5</v>
      </c>
      <c r="R705" s="2" t="s">
        <v>5</v>
      </c>
      <c r="U705" s="2" t="s">
        <v>376</v>
      </c>
      <c r="V705" s="2" t="e">
        <v>#N/A</v>
      </c>
      <c r="W705" s="2">
        <v>0</v>
      </c>
      <c r="X705" s="29">
        <v>0</v>
      </c>
      <c r="Y705" s="30">
        <v>0</v>
      </c>
      <c r="Z705" s="29">
        <v>0</v>
      </c>
      <c r="AA705" s="30">
        <v>0</v>
      </c>
      <c r="AB705" s="29">
        <v>2000</v>
      </c>
      <c r="AC705" s="29">
        <v>1</v>
      </c>
      <c r="AD705" s="29">
        <v>0</v>
      </c>
      <c r="AE705" s="29">
        <v>0</v>
      </c>
      <c r="AF705" s="29">
        <v>0</v>
      </c>
      <c r="AG705" s="29">
        <v>0</v>
      </c>
      <c r="AH705" s="2" t="e">
        <v>#N/A</v>
      </c>
      <c r="AI705" s="2" t="e">
        <v>#N/A</v>
      </c>
      <c r="AJ705" s="2" t="s">
        <v>5</v>
      </c>
      <c r="AK705" s="2" t="s">
        <v>5</v>
      </c>
    </row>
    <row r="706" spans="3:37" ht="12.5">
      <c r="C706" s="2" t="str">
        <f ca="1"/>
        <v/>
      </c>
      <c r="D706" s="2" t="str">
        <v/>
      </c>
      <c r="E706" s="29" t="str">
        <v/>
      </c>
      <c r="F706" s="30" t="str">
        <v/>
      </c>
      <c r="G706" s="29" t="str">
        <v/>
      </c>
      <c r="H706" s="30" t="str">
        <v/>
      </c>
      <c r="I706" s="29" t="str">
        <v/>
      </c>
      <c r="J706" s="29" t="str">
        <v/>
      </c>
      <c r="K706" s="29" t="str">
        <v/>
      </c>
      <c r="L706" s="29" t="str">
        <v/>
      </c>
      <c r="M706" s="29" t="str">
        <v/>
      </c>
      <c r="N706" s="29" t="str">
        <v/>
      </c>
      <c r="O706" s="2" t="str">
        <f ca="1"/>
        <v/>
      </c>
      <c r="P706" s="2" t="str">
        <f ca="1"/>
        <v/>
      </c>
      <c r="Q706" s="2" t="s">
        <v>5</v>
      </c>
      <c r="R706" s="2" t="s">
        <v>5</v>
      </c>
      <c r="U706" s="2" t="s">
        <v>378</v>
      </c>
      <c r="V706" s="2" t="e">
        <v>#N/A</v>
      </c>
      <c r="W706" s="2">
        <v>0</v>
      </c>
      <c r="X706" s="29">
        <v>0</v>
      </c>
      <c r="Y706" s="30">
        <v>0</v>
      </c>
      <c r="Z706" s="29">
        <v>0</v>
      </c>
      <c r="AA706" s="30">
        <v>0</v>
      </c>
      <c r="AB706" s="29">
        <v>6000</v>
      </c>
      <c r="AC706" s="29">
        <v>3</v>
      </c>
      <c r="AD706" s="29">
        <v>6000</v>
      </c>
      <c r="AE706" s="29">
        <v>3</v>
      </c>
      <c r="AF706" s="29">
        <v>0</v>
      </c>
      <c r="AG706" s="29">
        <v>0</v>
      </c>
      <c r="AH706" s="2" t="e">
        <v>#N/A</v>
      </c>
      <c r="AI706" s="2" t="e">
        <v>#N/A</v>
      </c>
      <c r="AJ706" s="2" t="s">
        <v>5</v>
      </c>
      <c r="AK706" s="2" t="s">
        <v>5</v>
      </c>
    </row>
    <row r="707" spans="3:37" ht="12.5">
      <c r="C707" s="2" t="str">
        <f ca="1"/>
        <v/>
      </c>
      <c r="D707" s="2" t="str">
        <v/>
      </c>
      <c r="E707" s="29" t="str">
        <v/>
      </c>
      <c r="F707" s="30" t="str">
        <v/>
      </c>
      <c r="G707" s="29" t="str">
        <v/>
      </c>
      <c r="H707" s="30" t="str">
        <v/>
      </c>
      <c r="I707" s="29" t="str">
        <v/>
      </c>
      <c r="J707" s="29" t="str">
        <v/>
      </c>
      <c r="K707" s="29" t="str">
        <v/>
      </c>
      <c r="L707" s="29" t="str">
        <v/>
      </c>
      <c r="M707" s="29" t="str">
        <v/>
      </c>
      <c r="N707" s="29" t="str">
        <v/>
      </c>
      <c r="O707" s="2" t="str">
        <f ca="1"/>
        <v/>
      </c>
      <c r="P707" s="2" t="str">
        <f ca="1"/>
        <v/>
      </c>
      <c r="Q707" s="2" t="s">
        <v>5</v>
      </c>
      <c r="R707" s="2" t="s">
        <v>5</v>
      </c>
      <c r="U707" s="2" t="s">
        <v>380</v>
      </c>
      <c r="V707" s="2" t="e">
        <v>#N/A</v>
      </c>
      <c r="W707" s="2">
        <v>0</v>
      </c>
      <c r="X707" s="29">
        <v>0</v>
      </c>
      <c r="Y707" s="30">
        <v>0</v>
      </c>
      <c r="Z707" s="29">
        <v>0</v>
      </c>
      <c r="AA707" s="30">
        <v>0</v>
      </c>
      <c r="AB707" s="29">
        <v>6000</v>
      </c>
      <c r="AC707" s="29">
        <v>3</v>
      </c>
      <c r="AD707" s="29">
        <v>10000</v>
      </c>
      <c r="AE707" s="29">
        <v>5</v>
      </c>
      <c r="AF707" s="29">
        <v>0</v>
      </c>
      <c r="AG707" s="29">
        <v>0</v>
      </c>
      <c r="AH707" s="2" t="e">
        <v>#N/A</v>
      </c>
      <c r="AI707" s="2" t="e">
        <v>#N/A</v>
      </c>
      <c r="AJ707" s="2" t="s">
        <v>5</v>
      </c>
      <c r="AK707" s="2" t="s">
        <v>5</v>
      </c>
    </row>
    <row r="708" spans="3:37" ht="12.5">
      <c r="C708" s="2" t="str">
        <f ca="1"/>
        <v/>
      </c>
      <c r="D708" s="2" t="str">
        <v/>
      </c>
      <c r="E708" s="29" t="str">
        <v/>
      </c>
      <c r="F708" s="30" t="str">
        <v/>
      </c>
      <c r="G708" s="29" t="str">
        <v/>
      </c>
      <c r="H708" s="30" t="str">
        <v/>
      </c>
      <c r="I708" s="29" t="str">
        <v/>
      </c>
      <c r="J708" s="29" t="str">
        <v/>
      </c>
      <c r="K708" s="29" t="str">
        <v/>
      </c>
      <c r="L708" s="29" t="str">
        <v/>
      </c>
      <c r="M708" s="29" t="str">
        <v/>
      </c>
      <c r="N708" s="29" t="str">
        <v/>
      </c>
      <c r="O708" s="2" t="str">
        <f ca="1"/>
        <v/>
      </c>
      <c r="P708" s="2" t="str">
        <f ca="1"/>
        <v/>
      </c>
      <c r="Q708" s="2" t="s">
        <v>5</v>
      </c>
      <c r="R708" s="2" t="s">
        <v>5</v>
      </c>
      <c r="U708" s="2" t="s">
        <v>382</v>
      </c>
      <c r="V708" s="2" t="e">
        <v>#N/A</v>
      </c>
      <c r="W708" s="2">
        <v>0</v>
      </c>
      <c r="X708" s="29">
        <v>0</v>
      </c>
      <c r="Y708" s="30">
        <v>0</v>
      </c>
      <c r="Z708" s="29">
        <v>0</v>
      </c>
      <c r="AA708" s="30">
        <v>0</v>
      </c>
      <c r="AB708" s="29">
        <v>2000</v>
      </c>
      <c r="AC708" s="29">
        <v>1</v>
      </c>
      <c r="AD708" s="29">
        <v>0</v>
      </c>
      <c r="AE708" s="29">
        <v>0</v>
      </c>
      <c r="AF708" s="29">
        <v>0</v>
      </c>
      <c r="AG708" s="29">
        <v>0</v>
      </c>
      <c r="AH708" s="2" t="e">
        <v>#N/A</v>
      </c>
      <c r="AI708" s="2" t="e">
        <v>#N/A</v>
      </c>
      <c r="AJ708" s="2" t="s">
        <v>5</v>
      </c>
      <c r="AK708" s="2" t="s">
        <v>5</v>
      </c>
    </row>
    <row r="709" spans="3:37" ht="12.5">
      <c r="C709" s="2" t="str">
        <f ca="1"/>
        <v/>
      </c>
      <c r="D709" s="2" t="str">
        <v/>
      </c>
      <c r="E709" s="29" t="str">
        <v/>
      </c>
      <c r="F709" s="30" t="str">
        <v/>
      </c>
      <c r="G709" s="29" t="str">
        <v/>
      </c>
      <c r="H709" s="30" t="str">
        <v/>
      </c>
      <c r="I709" s="29" t="str">
        <v/>
      </c>
      <c r="J709" s="29" t="str">
        <v/>
      </c>
      <c r="K709" s="29" t="str">
        <v/>
      </c>
      <c r="L709" s="29" t="str">
        <v/>
      </c>
      <c r="M709" s="29" t="str">
        <v/>
      </c>
      <c r="N709" s="29" t="str">
        <v/>
      </c>
      <c r="O709" s="2" t="str">
        <f ca="1"/>
        <v/>
      </c>
      <c r="P709" s="2" t="str">
        <f ca="1"/>
        <v/>
      </c>
      <c r="Q709" s="2" t="s">
        <v>5</v>
      </c>
      <c r="R709" s="2" t="s">
        <v>5</v>
      </c>
      <c r="U709" s="2" t="s">
        <v>384</v>
      </c>
      <c r="V709" s="2" t="e">
        <v>#N/A</v>
      </c>
      <c r="W709" s="2">
        <v>0</v>
      </c>
      <c r="X709" s="29">
        <v>0</v>
      </c>
      <c r="Y709" s="30">
        <v>0</v>
      </c>
      <c r="Z709" s="29">
        <v>0</v>
      </c>
      <c r="AA709" s="30">
        <v>0</v>
      </c>
      <c r="AB709" s="29">
        <v>4000</v>
      </c>
      <c r="AC709" s="29">
        <v>2</v>
      </c>
      <c r="AD709" s="29">
        <v>0</v>
      </c>
      <c r="AE709" s="29">
        <v>0</v>
      </c>
      <c r="AF709" s="29">
        <v>0</v>
      </c>
      <c r="AG709" s="29">
        <v>0</v>
      </c>
      <c r="AH709" s="2" t="e">
        <v>#N/A</v>
      </c>
      <c r="AI709" s="2" t="e">
        <v>#N/A</v>
      </c>
      <c r="AJ709" s="2" t="s">
        <v>5</v>
      </c>
      <c r="AK709" s="2" t="s">
        <v>5</v>
      </c>
    </row>
    <row r="710" spans="3:37" ht="12.5">
      <c r="C710" s="2" t="str">
        <f ca="1"/>
        <v/>
      </c>
      <c r="D710" s="2" t="str">
        <v/>
      </c>
      <c r="E710" s="29" t="str">
        <v/>
      </c>
      <c r="F710" s="30" t="str">
        <v/>
      </c>
      <c r="G710" s="29" t="str">
        <v/>
      </c>
      <c r="H710" s="30" t="str">
        <v/>
      </c>
      <c r="I710" s="29" t="str">
        <v/>
      </c>
      <c r="J710" s="29" t="str">
        <v/>
      </c>
      <c r="K710" s="29" t="str">
        <v/>
      </c>
      <c r="L710" s="29" t="str">
        <v/>
      </c>
      <c r="M710" s="29" t="str">
        <v/>
      </c>
      <c r="N710" s="29" t="str">
        <v/>
      </c>
      <c r="O710" s="2" t="str">
        <f ca="1"/>
        <v/>
      </c>
      <c r="P710" s="2" t="str">
        <f ca="1"/>
        <v/>
      </c>
      <c r="Q710" s="2" t="s">
        <v>5</v>
      </c>
      <c r="R710" s="2" t="s">
        <v>5</v>
      </c>
      <c r="U710" s="2" t="s">
        <v>385</v>
      </c>
      <c r="V710" s="2" t="e">
        <v>#N/A</v>
      </c>
      <c r="W710" s="2">
        <v>0</v>
      </c>
      <c r="X710" s="29">
        <v>0</v>
      </c>
      <c r="Y710" s="30">
        <v>0</v>
      </c>
      <c r="Z710" s="29">
        <v>0</v>
      </c>
      <c r="AA710" s="30">
        <v>0</v>
      </c>
      <c r="AB710" s="29">
        <v>2000</v>
      </c>
      <c r="AC710" s="29">
        <v>1</v>
      </c>
      <c r="AD710" s="29">
        <v>0</v>
      </c>
      <c r="AE710" s="29">
        <v>0</v>
      </c>
      <c r="AF710" s="29">
        <v>0</v>
      </c>
      <c r="AG710" s="29">
        <v>0</v>
      </c>
      <c r="AH710" s="2" t="e">
        <v>#N/A</v>
      </c>
      <c r="AI710" s="2" t="e">
        <v>#N/A</v>
      </c>
      <c r="AJ710" s="2" t="s">
        <v>5</v>
      </c>
      <c r="AK710" s="2" t="s">
        <v>5</v>
      </c>
    </row>
    <row r="711" spans="3:37" ht="12.5">
      <c r="C711" s="2" t="str">
        <f ca="1"/>
        <v/>
      </c>
      <c r="D711" s="2" t="str">
        <v/>
      </c>
      <c r="E711" s="29" t="str">
        <v/>
      </c>
      <c r="F711" s="30" t="str">
        <v/>
      </c>
      <c r="G711" s="29" t="str">
        <v/>
      </c>
      <c r="H711" s="30" t="str">
        <v/>
      </c>
      <c r="I711" s="29" t="str">
        <v/>
      </c>
      <c r="J711" s="29" t="str">
        <v/>
      </c>
      <c r="K711" s="29" t="str">
        <v/>
      </c>
      <c r="L711" s="29" t="str">
        <v/>
      </c>
      <c r="M711" s="29" t="str">
        <v/>
      </c>
      <c r="N711" s="29" t="str">
        <v/>
      </c>
      <c r="O711" s="2" t="str">
        <f ca="1"/>
        <v/>
      </c>
      <c r="P711" s="2" t="str">
        <f ca="1"/>
        <v/>
      </c>
      <c r="Q711" s="2" t="s">
        <v>5</v>
      </c>
      <c r="R711" s="2" t="s">
        <v>5</v>
      </c>
      <c r="U711" s="2" t="s">
        <v>387</v>
      </c>
      <c r="V711" s="2" t="e">
        <v>#N/A</v>
      </c>
      <c r="W711" s="2">
        <v>0</v>
      </c>
      <c r="X711" s="29">
        <v>0</v>
      </c>
      <c r="Y711" s="30">
        <v>0</v>
      </c>
      <c r="Z711" s="29">
        <v>0</v>
      </c>
      <c r="AA711" s="30">
        <v>0</v>
      </c>
      <c r="AB711" s="29">
        <v>6000</v>
      </c>
      <c r="AC711" s="29">
        <v>3</v>
      </c>
      <c r="AD711" s="29">
        <v>6000</v>
      </c>
      <c r="AE711" s="29">
        <v>3</v>
      </c>
      <c r="AF711" s="29">
        <v>0</v>
      </c>
      <c r="AG711" s="29">
        <v>0</v>
      </c>
      <c r="AH711" s="2" t="e">
        <v>#N/A</v>
      </c>
      <c r="AI711" s="2" t="e">
        <v>#N/A</v>
      </c>
      <c r="AJ711" s="2" t="s">
        <v>5</v>
      </c>
      <c r="AK711" s="2" t="s">
        <v>5</v>
      </c>
    </row>
    <row r="712" spans="3:37" ht="12.5">
      <c r="C712" s="2" t="str">
        <f ca="1"/>
        <v/>
      </c>
      <c r="D712" s="2" t="str">
        <v/>
      </c>
      <c r="E712" s="29" t="str">
        <v/>
      </c>
      <c r="F712" s="30" t="str">
        <v/>
      </c>
      <c r="G712" s="29" t="str">
        <v/>
      </c>
      <c r="H712" s="30" t="str">
        <v/>
      </c>
      <c r="I712" s="29" t="str">
        <v/>
      </c>
      <c r="J712" s="29" t="str">
        <v/>
      </c>
      <c r="K712" s="29" t="str">
        <v/>
      </c>
      <c r="L712" s="29" t="str">
        <v/>
      </c>
      <c r="M712" s="29" t="str">
        <v/>
      </c>
      <c r="N712" s="29" t="str">
        <v/>
      </c>
      <c r="O712" s="2" t="str">
        <f ca="1"/>
        <v/>
      </c>
      <c r="P712" s="2" t="str">
        <f ca="1"/>
        <v/>
      </c>
      <c r="Q712" s="2" t="s">
        <v>5</v>
      </c>
      <c r="R712" s="2" t="s">
        <v>5</v>
      </c>
      <c r="U712" s="2" t="s">
        <v>390</v>
      </c>
      <c r="V712" s="2" t="e">
        <v>#N/A</v>
      </c>
      <c r="W712" s="2">
        <v>0</v>
      </c>
      <c r="X712" s="29">
        <v>0</v>
      </c>
      <c r="Y712" s="30">
        <v>0</v>
      </c>
      <c r="Z712" s="29">
        <v>0</v>
      </c>
      <c r="AA712" s="30">
        <v>0</v>
      </c>
      <c r="AB712" s="29">
        <v>6000</v>
      </c>
      <c r="AC712" s="29">
        <v>3</v>
      </c>
      <c r="AD712" s="29">
        <v>6000</v>
      </c>
      <c r="AE712" s="29">
        <v>3</v>
      </c>
      <c r="AF712" s="29">
        <v>0</v>
      </c>
      <c r="AG712" s="29">
        <v>0</v>
      </c>
      <c r="AH712" s="2" t="e">
        <v>#N/A</v>
      </c>
      <c r="AI712" s="2" t="e">
        <v>#N/A</v>
      </c>
      <c r="AJ712" s="2" t="s">
        <v>5</v>
      </c>
      <c r="AK712" s="2" t="s">
        <v>5</v>
      </c>
    </row>
    <row r="713" spans="3:37" ht="12.5">
      <c r="C713" s="2" t="str">
        <f ca="1"/>
        <v/>
      </c>
      <c r="D713" s="2" t="str">
        <v/>
      </c>
      <c r="E713" s="29" t="str">
        <v/>
      </c>
      <c r="F713" s="30" t="str">
        <v/>
      </c>
      <c r="G713" s="29" t="str">
        <v/>
      </c>
      <c r="H713" s="30" t="str">
        <v/>
      </c>
      <c r="I713" s="29" t="str">
        <v/>
      </c>
      <c r="J713" s="29" t="str">
        <v/>
      </c>
      <c r="K713" s="29" t="str">
        <v/>
      </c>
      <c r="L713" s="29" t="str">
        <v/>
      </c>
      <c r="M713" s="29" t="str">
        <v/>
      </c>
      <c r="N713" s="29" t="str">
        <v/>
      </c>
      <c r="O713" s="2" t="str">
        <f ca="1"/>
        <v/>
      </c>
      <c r="P713" s="2" t="str">
        <f ca="1"/>
        <v/>
      </c>
      <c r="Q713" s="2" t="s">
        <v>5</v>
      </c>
      <c r="R713" s="2" t="s">
        <v>5</v>
      </c>
      <c r="U713" s="2" t="s">
        <v>391</v>
      </c>
      <c r="V713" s="2" t="e">
        <v>#N/A</v>
      </c>
      <c r="W713" s="2">
        <v>0</v>
      </c>
      <c r="X713" s="29">
        <v>0</v>
      </c>
      <c r="Y713" s="30">
        <v>0</v>
      </c>
      <c r="Z713" s="29">
        <v>0</v>
      </c>
      <c r="AA713" s="30">
        <v>0</v>
      </c>
      <c r="AB713" s="29">
        <v>10000</v>
      </c>
      <c r="AC713" s="29">
        <v>5</v>
      </c>
      <c r="AD713" s="29">
        <v>6000</v>
      </c>
      <c r="AE713" s="29">
        <v>3</v>
      </c>
      <c r="AF713" s="29">
        <v>0</v>
      </c>
      <c r="AG713" s="29">
        <v>0</v>
      </c>
      <c r="AH713" s="2" t="e">
        <v>#N/A</v>
      </c>
      <c r="AI713" s="2" t="e">
        <v>#N/A</v>
      </c>
      <c r="AJ713" s="2" t="s">
        <v>5</v>
      </c>
      <c r="AK713" s="2" t="s">
        <v>5</v>
      </c>
    </row>
    <row r="714" spans="3:37" ht="12.5">
      <c r="C714" s="2" t="str">
        <f ca="1"/>
        <v/>
      </c>
      <c r="D714" s="2" t="str">
        <v/>
      </c>
      <c r="E714" s="29" t="str">
        <v/>
      </c>
      <c r="F714" s="30" t="str">
        <v/>
      </c>
      <c r="G714" s="29" t="str">
        <v/>
      </c>
      <c r="H714" s="30" t="str">
        <v/>
      </c>
      <c r="I714" s="29" t="str">
        <v/>
      </c>
      <c r="J714" s="29" t="str">
        <v/>
      </c>
      <c r="K714" s="29" t="str">
        <v/>
      </c>
      <c r="L714" s="29" t="str">
        <v/>
      </c>
      <c r="M714" s="29" t="str">
        <v/>
      </c>
      <c r="N714" s="29" t="str">
        <v/>
      </c>
      <c r="O714" s="2" t="str">
        <f ca="1"/>
        <v/>
      </c>
      <c r="P714" s="2" t="str">
        <f ca="1"/>
        <v/>
      </c>
      <c r="Q714" s="2" t="s">
        <v>5</v>
      </c>
      <c r="R714" s="2" t="s">
        <v>5</v>
      </c>
      <c r="U714" s="2" t="s">
        <v>394</v>
      </c>
      <c r="V714" s="2" t="e">
        <v>#N/A</v>
      </c>
      <c r="W714" s="2">
        <v>0</v>
      </c>
      <c r="X714" s="29">
        <v>0</v>
      </c>
      <c r="Y714" s="30">
        <v>0</v>
      </c>
      <c r="Z714" s="29">
        <v>0</v>
      </c>
      <c r="AA714" s="30">
        <v>0</v>
      </c>
      <c r="AB714" s="29">
        <v>2000</v>
      </c>
      <c r="AC714" s="29">
        <v>1</v>
      </c>
      <c r="AD714" s="29">
        <v>10000</v>
      </c>
      <c r="AE714" s="29">
        <v>5</v>
      </c>
      <c r="AF714" s="29">
        <v>0</v>
      </c>
      <c r="AG714" s="29">
        <v>0</v>
      </c>
      <c r="AH714" s="2" t="e">
        <v>#N/A</v>
      </c>
      <c r="AI714" s="2" t="e">
        <v>#N/A</v>
      </c>
      <c r="AJ714" s="2" t="s">
        <v>5</v>
      </c>
      <c r="AK714" s="2" t="s">
        <v>5</v>
      </c>
    </row>
    <row r="715" spans="3:37" ht="12.5">
      <c r="C715" s="2" t="str">
        <f ca="1"/>
        <v/>
      </c>
      <c r="D715" s="2" t="str">
        <v/>
      </c>
      <c r="E715" s="29" t="str">
        <v/>
      </c>
      <c r="F715" s="30" t="str">
        <v/>
      </c>
      <c r="G715" s="29" t="str">
        <v/>
      </c>
      <c r="H715" s="30" t="str">
        <v/>
      </c>
      <c r="I715" s="29" t="str">
        <v/>
      </c>
      <c r="J715" s="29" t="str">
        <v/>
      </c>
      <c r="K715" s="29" t="str">
        <v/>
      </c>
      <c r="L715" s="29" t="str">
        <v/>
      </c>
      <c r="M715" s="29" t="str">
        <v/>
      </c>
      <c r="N715" s="29" t="str">
        <v/>
      </c>
      <c r="O715" s="2" t="str">
        <f ca="1"/>
        <v/>
      </c>
      <c r="P715" s="2" t="str">
        <f ca="1"/>
        <v/>
      </c>
      <c r="Q715" s="2" t="s">
        <v>5</v>
      </c>
      <c r="R715" s="2" t="s">
        <v>5</v>
      </c>
      <c r="U715" s="2" t="s">
        <v>395</v>
      </c>
      <c r="V715" s="2" t="e">
        <v>#N/A</v>
      </c>
      <c r="W715" s="2">
        <v>0</v>
      </c>
      <c r="X715" s="29">
        <v>0</v>
      </c>
      <c r="Y715" s="30">
        <v>0</v>
      </c>
      <c r="Z715" s="29">
        <v>0</v>
      </c>
      <c r="AA715" s="30">
        <v>0</v>
      </c>
      <c r="AB715" s="29">
        <v>2000</v>
      </c>
      <c r="AC715" s="29">
        <v>1</v>
      </c>
      <c r="AD715" s="29">
        <v>0</v>
      </c>
      <c r="AE715" s="29">
        <v>0</v>
      </c>
      <c r="AF715" s="29">
        <v>0</v>
      </c>
      <c r="AG715" s="29">
        <v>0</v>
      </c>
      <c r="AH715" s="2" t="e">
        <v>#N/A</v>
      </c>
      <c r="AI715" s="2" t="e">
        <v>#N/A</v>
      </c>
      <c r="AJ715" s="2" t="s">
        <v>5</v>
      </c>
      <c r="AK715" s="2" t="s">
        <v>5</v>
      </c>
    </row>
    <row r="716" spans="3:37" ht="12.5">
      <c r="C716" s="2" t="str">
        <f ca="1"/>
        <v/>
      </c>
      <c r="D716" s="2" t="str">
        <v/>
      </c>
      <c r="E716" s="29" t="str">
        <v/>
      </c>
      <c r="F716" s="30" t="str">
        <v/>
      </c>
      <c r="G716" s="29" t="str">
        <v/>
      </c>
      <c r="H716" s="30" t="str">
        <v/>
      </c>
      <c r="I716" s="29" t="str">
        <v/>
      </c>
      <c r="J716" s="29" t="str">
        <v/>
      </c>
      <c r="K716" s="29" t="str">
        <v/>
      </c>
      <c r="L716" s="29" t="str">
        <v/>
      </c>
      <c r="M716" s="29" t="str">
        <v/>
      </c>
      <c r="N716" s="29" t="str">
        <v/>
      </c>
      <c r="O716" s="2" t="str">
        <f ca="1"/>
        <v/>
      </c>
      <c r="P716" s="2" t="str">
        <f ca="1"/>
        <v/>
      </c>
      <c r="Q716" s="2" t="s">
        <v>5</v>
      </c>
      <c r="R716" s="2" t="s">
        <v>5</v>
      </c>
      <c r="U716" s="2" t="s">
        <v>396</v>
      </c>
      <c r="V716" s="2" t="e">
        <v>#N/A</v>
      </c>
      <c r="W716" s="2">
        <v>0</v>
      </c>
      <c r="X716" s="29">
        <v>0</v>
      </c>
      <c r="Y716" s="30">
        <v>0</v>
      </c>
      <c r="Z716" s="29">
        <v>0</v>
      </c>
      <c r="AA716" s="30">
        <v>0</v>
      </c>
      <c r="AB716" s="29">
        <v>2000</v>
      </c>
      <c r="AC716" s="29">
        <v>1</v>
      </c>
      <c r="AD716" s="29">
        <v>0</v>
      </c>
      <c r="AE716" s="29">
        <v>0</v>
      </c>
      <c r="AF716" s="29">
        <v>0</v>
      </c>
      <c r="AG716" s="29">
        <v>0</v>
      </c>
      <c r="AH716" s="2" t="e">
        <v>#N/A</v>
      </c>
      <c r="AI716" s="2" t="e">
        <v>#N/A</v>
      </c>
      <c r="AJ716" s="2" t="s">
        <v>5</v>
      </c>
      <c r="AK716" s="2" t="s">
        <v>5</v>
      </c>
    </row>
    <row r="717" spans="3:37" ht="12.5">
      <c r="C717" s="2" t="str">
        <f ca="1"/>
        <v/>
      </c>
      <c r="D717" s="2" t="str">
        <v/>
      </c>
      <c r="E717" s="29" t="str">
        <v/>
      </c>
      <c r="F717" s="30" t="str">
        <v/>
      </c>
      <c r="G717" s="29" t="str">
        <v/>
      </c>
      <c r="H717" s="30" t="str">
        <v/>
      </c>
      <c r="I717" s="29" t="str">
        <v/>
      </c>
      <c r="J717" s="29" t="str">
        <v/>
      </c>
      <c r="K717" s="29" t="str">
        <v/>
      </c>
      <c r="L717" s="29" t="str">
        <v/>
      </c>
      <c r="M717" s="29" t="str">
        <v/>
      </c>
      <c r="N717" s="29" t="str">
        <v/>
      </c>
      <c r="O717" s="2" t="str">
        <f ca="1"/>
        <v/>
      </c>
      <c r="P717" s="2" t="str">
        <f ca="1"/>
        <v/>
      </c>
      <c r="Q717" s="2" t="s">
        <v>5</v>
      </c>
      <c r="R717" s="2" t="s">
        <v>5</v>
      </c>
      <c r="U717" s="2" t="s">
        <v>241</v>
      </c>
      <c r="V717" s="2" t="e">
        <v>#N/A</v>
      </c>
      <c r="W717" s="2">
        <v>0</v>
      </c>
      <c r="X717" s="29">
        <v>0</v>
      </c>
      <c r="Y717" s="30">
        <v>0</v>
      </c>
      <c r="Z717" s="29">
        <v>0</v>
      </c>
      <c r="AA717" s="30">
        <v>0</v>
      </c>
      <c r="AB717" s="29">
        <v>10000</v>
      </c>
      <c r="AC717" s="29">
        <v>5</v>
      </c>
      <c r="AD717" s="29">
        <v>0</v>
      </c>
      <c r="AE717" s="29">
        <v>0</v>
      </c>
      <c r="AF717" s="29">
        <v>0</v>
      </c>
      <c r="AG717" s="29">
        <v>0</v>
      </c>
      <c r="AH717" s="2" t="e">
        <v>#N/A</v>
      </c>
      <c r="AI717" s="2" t="e">
        <v>#N/A</v>
      </c>
      <c r="AJ717" s="2" t="s">
        <v>5</v>
      </c>
      <c r="AK717" s="2" t="s">
        <v>5</v>
      </c>
    </row>
    <row r="718" spans="3:37" ht="12.5">
      <c r="C718" s="2" t="str">
        <f ca="1"/>
        <v/>
      </c>
      <c r="D718" s="2" t="str">
        <v/>
      </c>
      <c r="E718" s="29" t="str">
        <v/>
      </c>
      <c r="F718" s="30" t="str">
        <v/>
      </c>
      <c r="G718" s="29" t="str">
        <v/>
      </c>
      <c r="H718" s="30" t="str">
        <v/>
      </c>
      <c r="I718" s="29" t="str">
        <v/>
      </c>
      <c r="J718" s="29" t="str">
        <v/>
      </c>
      <c r="K718" s="29" t="str">
        <v/>
      </c>
      <c r="L718" s="29" t="str">
        <v/>
      </c>
      <c r="M718" s="29" t="str">
        <v/>
      </c>
      <c r="N718" s="29" t="str">
        <v/>
      </c>
      <c r="O718" s="2" t="str">
        <f ca="1"/>
        <v/>
      </c>
      <c r="P718" s="2" t="str">
        <f ca="1"/>
        <v/>
      </c>
      <c r="Q718" s="2" t="s">
        <v>5</v>
      </c>
      <c r="R718" s="2" t="s">
        <v>5</v>
      </c>
      <c r="U718" s="2" t="s">
        <v>403</v>
      </c>
      <c r="V718" s="2" t="e">
        <v>#N/A</v>
      </c>
      <c r="W718" s="2">
        <v>0</v>
      </c>
      <c r="X718" s="29">
        <v>0</v>
      </c>
      <c r="Y718" s="30">
        <v>0</v>
      </c>
      <c r="Z718" s="29">
        <v>0</v>
      </c>
      <c r="AA718" s="30">
        <v>0</v>
      </c>
      <c r="AB718" s="29">
        <v>2000</v>
      </c>
      <c r="AC718" s="29">
        <v>1</v>
      </c>
      <c r="AD718" s="29">
        <v>4000</v>
      </c>
      <c r="AE718" s="29">
        <v>2</v>
      </c>
      <c r="AF718" s="29">
        <v>0</v>
      </c>
      <c r="AG718" s="29">
        <v>0</v>
      </c>
      <c r="AH718" s="2" t="e">
        <v>#N/A</v>
      </c>
      <c r="AI718" s="2" t="e">
        <v>#N/A</v>
      </c>
      <c r="AJ718" s="2" t="s">
        <v>5</v>
      </c>
      <c r="AK718" s="2" t="s">
        <v>5</v>
      </c>
    </row>
    <row r="719" spans="3:37" ht="12.5">
      <c r="C719" s="2" t="str">
        <f ca="1"/>
        <v/>
      </c>
      <c r="D719" s="2" t="str">
        <v/>
      </c>
      <c r="E719" s="29" t="str">
        <v/>
      </c>
      <c r="F719" s="30" t="str">
        <v/>
      </c>
      <c r="G719" s="29" t="str">
        <v/>
      </c>
      <c r="H719" s="30" t="str">
        <v/>
      </c>
      <c r="I719" s="29" t="str">
        <v/>
      </c>
      <c r="J719" s="29" t="str">
        <v/>
      </c>
      <c r="K719" s="29" t="str">
        <v/>
      </c>
      <c r="L719" s="29" t="str">
        <v/>
      </c>
      <c r="M719" s="29" t="str">
        <v/>
      </c>
      <c r="N719" s="29" t="str">
        <v/>
      </c>
      <c r="O719" s="2" t="str">
        <f ca="1"/>
        <v/>
      </c>
      <c r="P719" s="2" t="str">
        <f ca="1"/>
        <v/>
      </c>
      <c r="Q719" s="2" t="s">
        <v>5</v>
      </c>
      <c r="R719" s="2" t="s">
        <v>5</v>
      </c>
      <c r="U719" s="2" t="s">
        <v>405</v>
      </c>
      <c r="V719" s="2" t="e">
        <v>#N/A</v>
      </c>
      <c r="W719" s="2">
        <v>0</v>
      </c>
      <c r="X719" s="29">
        <v>0</v>
      </c>
      <c r="Y719" s="30">
        <v>0</v>
      </c>
      <c r="Z719" s="29">
        <v>0</v>
      </c>
      <c r="AA719" s="30">
        <v>0</v>
      </c>
      <c r="AB719" s="29">
        <v>4000</v>
      </c>
      <c r="AC719" s="29">
        <v>2</v>
      </c>
      <c r="AD719" s="29">
        <v>6000</v>
      </c>
      <c r="AE719" s="29">
        <v>3</v>
      </c>
      <c r="AF719" s="29">
        <v>0</v>
      </c>
      <c r="AG719" s="29">
        <v>0</v>
      </c>
      <c r="AH719" s="2" t="e">
        <v>#N/A</v>
      </c>
      <c r="AI719" s="2" t="e">
        <v>#N/A</v>
      </c>
      <c r="AJ719" s="2" t="s">
        <v>5</v>
      </c>
      <c r="AK719" s="2" t="s">
        <v>5</v>
      </c>
    </row>
    <row r="720" spans="3:37" ht="12.5">
      <c r="C720" s="2" t="str">
        <f ca="1"/>
        <v/>
      </c>
      <c r="D720" s="2" t="str">
        <v/>
      </c>
      <c r="E720" s="29" t="str">
        <v/>
      </c>
      <c r="F720" s="30" t="str">
        <v/>
      </c>
      <c r="G720" s="29" t="str">
        <v/>
      </c>
      <c r="H720" s="30" t="str">
        <v/>
      </c>
      <c r="I720" s="29" t="str">
        <v/>
      </c>
      <c r="J720" s="29" t="str">
        <v/>
      </c>
      <c r="K720" s="29" t="str">
        <v/>
      </c>
      <c r="L720" s="29" t="str">
        <v/>
      </c>
      <c r="M720" s="29" t="str">
        <v/>
      </c>
      <c r="N720" s="29" t="str">
        <v/>
      </c>
      <c r="O720" s="2" t="str">
        <f ca="1"/>
        <v/>
      </c>
      <c r="P720" s="2" t="str">
        <f ca="1"/>
        <v/>
      </c>
      <c r="Q720" s="2" t="s">
        <v>5</v>
      </c>
      <c r="R720" s="2" t="s">
        <v>5</v>
      </c>
      <c r="U720" s="2" t="s">
        <v>406</v>
      </c>
      <c r="V720" s="2" t="e">
        <v>#N/A</v>
      </c>
      <c r="W720" s="2">
        <v>0</v>
      </c>
      <c r="X720" s="29">
        <v>0</v>
      </c>
      <c r="Y720" s="30">
        <v>0</v>
      </c>
      <c r="Z720" s="29">
        <v>0</v>
      </c>
      <c r="AA720" s="30">
        <v>0</v>
      </c>
      <c r="AB720" s="29">
        <v>2000</v>
      </c>
      <c r="AC720" s="29">
        <v>1</v>
      </c>
      <c r="AD720" s="29">
        <v>0</v>
      </c>
      <c r="AE720" s="29">
        <v>0</v>
      </c>
      <c r="AF720" s="29">
        <v>0</v>
      </c>
      <c r="AG720" s="29">
        <v>0</v>
      </c>
      <c r="AH720" s="2" t="e">
        <v>#N/A</v>
      </c>
      <c r="AI720" s="2" t="e">
        <v>#N/A</v>
      </c>
      <c r="AJ720" s="2" t="s">
        <v>5</v>
      </c>
      <c r="AK720" s="2" t="s">
        <v>5</v>
      </c>
    </row>
    <row r="721" spans="3:37" ht="12.5">
      <c r="C721" s="2" t="str">
        <f ca="1"/>
        <v/>
      </c>
      <c r="D721" s="2" t="str">
        <v/>
      </c>
      <c r="E721" s="29" t="str">
        <v/>
      </c>
      <c r="F721" s="30" t="str">
        <v/>
      </c>
      <c r="G721" s="29" t="str">
        <v/>
      </c>
      <c r="H721" s="30" t="str">
        <v/>
      </c>
      <c r="I721" s="29" t="str">
        <v/>
      </c>
      <c r="J721" s="29" t="str">
        <v/>
      </c>
      <c r="K721" s="29" t="str">
        <v/>
      </c>
      <c r="L721" s="29" t="str">
        <v/>
      </c>
      <c r="M721" s="29" t="str">
        <v/>
      </c>
      <c r="N721" s="29" t="str">
        <v/>
      </c>
      <c r="O721" s="2" t="str">
        <f ca="1"/>
        <v/>
      </c>
      <c r="P721" s="2" t="str">
        <f ca="1"/>
        <v/>
      </c>
      <c r="Q721" s="2" t="s">
        <v>5</v>
      </c>
      <c r="R721" s="2" t="s">
        <v>5</v>
      </c>
      <c r="U721" s="2" t="s">
        <v>408</v>
      </c>
      <c r="V721" s="2" t="e">
        <v>#N/A</v>
      </c>
      <c r="W721" s="2">
        <v>0</v>
      </c>
      <c r="X721" s="29">
        <v>0</v>
      </c>
      <c r="Y721" s="30">
        <v>0</v>
      </c>
      <c r="Z721" s="29">
        <v>0</v>
      </c>
      <c r="AA721" s="30">
        <v>0</v>
      </c>
      <c r="AB721" s="29">
        <v>2000</v>
      </c>
      <c r="AC721" s="29">
        <v>1</v>
      </c>
      <c r="AD721" s="29">
        <v>0</v>
      </c>
      <c r="AE721" s="29">
        <v>0</v>
      </c>
      <c r="AF721" s="29">
        <v>0</v>
      </c>
      <c r="AG721" s="29">
        <v>0</v>
      </c>
      <c r="AH721" s="2" t="e">
        <v>#N/A</v>
      </c>
      <c r="AI721" s="2" t="e">
        <v>#N/A</v>
      </c>
      <c r="AJ721" s="2" t="s">
        <v>5</v>
      </c>
      <c r="AK721" s="2" t="s">
        <v>5</v>
      </c>
    </row>
    <row r="722" spans="3:37" ht="12.5">
      <c r="C722" s="2" t="str">
        <f ca="1"/>
        <v/>
      </c>
      <c r="D722" s="2" t="str">
        <v/>
      </c>
      <c r="E722" s="29" t="str">
        <v/>
      </c>
      <c r="F722" s="30" t="str">
        <v/>
      </c>
      <c r="G722" s="29" t="str">
        <v/>
      </c>
      <c r="H722" s="30" t="str">
        <v/>
      </c>
      <c r="I722" s="29" t="str">
        <v/>
      </c>
      <c r="J722" s="29" t="str">
        <v/>
      </c>
      <c r="K722" s="29" t="str">
        <v/>
      </c>
      <c r="L722" s="29" t="str">
        <v/>
      </c>
      <c r="M722" s="29" t="str">
        <v/>
      </c>
      <c r="N722" s="29" t="str">
        <v/>
      </c>
      <c r="O722" s="2" t="str">
        <f ca="1"/>
        <v/>
      </c>
      <c r="P722" s="2" t="str">
        <f ca="1"/>
        <v/>
      </c>
      <c r="Q722" s="2" t="s">
        <v>5</v>
      </c>
      <c r="R722" s="2" t="s">
        <v>5</v>
      </c>
      <c r="U722" s="2" t="s">
        <v>226</v>
      </c>
      <c r="V722" s="2" t="e">
        <v>#N/A</v>
      </c>
      <c r="W722" s="2">
        <v>0</v>
      </c>
      <c r="X722" s="29">
        <v>0</v>
      </c>
      <c r="Y722" s="30">
        <v>0</v>
      </c>
      <c r="Z722" s="29">
        <v>0</v>
      </c>
      <c r="AA722" s="30">
        <v>0</v>
      </c>
      <c r="AB722" s="29">
        <v>4000</v>
      </c>
      <c r="AC722" s="29">
        <v>2</v>
      </c>
      <c r="AD722" s="29">
        <v>16000</v>
      </c>
      <c r="AE722" s="29">
        <v>8</v>
      </c>
      <c r="AF722" s="29">
        <v>0</v>
      </c>
      <c r="AG722" s="29">
        <v>0</v>
      </c>
      <c r="AH722" s="2" t="e">
        <v>#N/A</v>
      </c>
      <c r="AI722" s="2" t="e">
        <v>#N/A</v>
      </c>
      <c r="AJ722" s="2" t="s">
        <v>5</v>
      </c>
      <c r="AK722" s="2" t="s">
        <v>5</v>
      </c>
    </row>
    <row r="723" spans="3:37" ht="12.5">
      <c r="C723" s="2" t="str">
        <f ca="1"/>
        <v/>
      </c>
      <c r="D723" s="2" t="str">
        <v/>
      </c>
      <c r="E723" s="29" t="str">
        <v/>
      </c>
      <c r="F723" s="30" t="str">
        <v/>
      </c>
      <c r="G723" s="29" t="str">
        <v/>
      </c>
      <c r="H723" s="30" t="str">
        <v/>
      </c>
      <c r="I723" s="29" t="str">
        <v/>
      </c>
      <c r="J723" s="29" t="str">
        <v/>
      </c>
      <c r="K723" s="29" t="str">
        <v/>
      </c>
      <c r="L723" s="29" t="str">
        <v/>
      </c>
      <c r="M723" s="29" t="str">
        <v/>
      </c>
      <c r="N723" s="29" t="str">
        <v/>
      </c>
      <c r="O723" s="2" t="str">
        <f ca="1"/>
        <v/>
      </c>
      <c r="P723" s="2" t="str">
        <f ca="1"/>
        <v/>
      </c>
      <c r="Q723" s="2" t="s">
        <v>5</v>
      </c>
      <c r="R723" s="2" t="s">
        <v>5</v>
      </c>
      <c r="U723" s="2" t="s">
        <v>227</v>
      </c>
      <c r="V723" s="2" t="e">
        <v>#N/A</v>
      </c>
      <c r="W723" s="2">
        <v>0</v>
      </c>
      <c r="X723" s="29">
        <v>0</v>
      </c>
      <c r="Y723" s="30">
        <v>0</v>
      </c>
      <c r="Z723" s="29">
        <v>0</v>
      </c>
      <c r="AA723" s="30">
        <v>0</v>
      </c>
      <c r="AB723" s="29">
        <v>2000</v>
      </c>
      <c r="AC723" s="29">
        <v>1</v>
      </c>
      <c r="AD723" s="29">
        <v>2000</v>
      </c>
      <c r="AE723" s="29">
        <v>1</v>
      </c>
      <c r="AF723" s="29">
        <v>0</v>
      </c>
      <c r="AG723" s="29">
        <v>0</v>
      </c>
      <c r="AH723" s="2" t="e">
        <v>#N/A</v>
      </c>
      <c r="AI723" s="2" t="e">
        <v>#N/A</v>
      </c>
      <c r="AJ723" s="2" t="s">
        <v>5</v>
      </c>
      <c r="AK723" s="2" t="s">
        <v>5</v>
      </c>
    </row>
    <row r="724" spans="3:37" ht="12.5">
      <c r="C724" s="2" t="str">
        <f ca="1"/>
        <v/>
      </c>
      <c r="D724" s="2" t="str">
        <v/>
      </c>
      <c r="E724" s="29" t="str">
        <v/>
      </c>
      <c r="F724" s="30" t="str">
        <v/>
      </c>
      <c r="G724" s="29" t="str">
        <v/>
      </c>
      <c r="H724" s="30" t="str">
        <v/>
      </c>
      <c r="I724" s="29" t="str">
        <v/>
      </c>
      <c r="J724" s="29" t="str">
        <v/>
      </c>
      <c r="K724" s="29" t="str">
        <v/>
      </c>
      <c r="L724" s="29" t="str">
        <v/>
      </c>
      <c r="M724" s="29" t="str">
        <v/>
      </c>
      <c r="N724" s="29" t="str">
        <v/>
      </c>
      <c r="O724" s="2" t="str">
        <f ca="1"/>
        <v/>
      </c>
      <c r="P724" s="2" t="str">
        <f ca="1"/>
        <v/>
      </c>
      <c r="Q724" s="2" t="s">
        <v>5</v>
      </c>
      <c r="R724" s="2" t="s">
        <v>5</v>
      </c>
      <c r="U724" s="2" t="s">
        <v>229</v>
      </c>
      <c r="V724" s="2" t="e">
        <v>#N/A</v>
      </c>
      <c r="W724" s="2">
        <v>0</v>
      </c>
      <c r="X724" s="29">
        <v>0</v>
      </c>
      <c r="Y724" s="30">
        <v>0</v>
      </c>
      <c r="Z724" s="29">
        <v>0</v>
      </c>
      <c r="AA724" s="30">
        <v>0</v>
      </c>
      <c r="AB724" s="29">
        <v>6000</v>
      </c>
      <c r="AC724" s="29">
        <v>3</v>
      </c>
      <c r="AD724" s="29">
        <v>4000</v>
      </c>
      <c r="AE724" s="29">
        <v>2</v>
      </c>
      <c r="AF724" s="29">
        <v>0</v>
      </c>
      <c r="AG724" s="29">
        <v>0</v>
      </c>
      <c r="AH724" s="2" t="e">
        <v>#N/A</v>
      </c>
      <c r="AI724" s="2" t="e">
        <v>#N/A</v>
      </c>
      <c r="AJ724" s="2" t="s">
        <v>5</v>
      </c>
      <c r="AK724" s="2" t="s">
        <v>5</v>
      </c>
    </row>
    <row r="725" spans="3:37" ht="12.5">
      <c r="C725" s="2" t="str">
        <f ca="1"/>
        <v/>
      </c>
      <c r="D725" s="2" t="str">
        <v/>
      </c>
      <c r="E725" s="29" t="str">
        <v/>
      </c>
      <c r="F725" s="30" t="str">
        <v/>
      </c>
      <c r="G725" s="29" t="str">
        <v/>
      </c>
      <c r="H725" s="30" t="str">
        <v/>
      </c>
      <c r="I725" s="29" t="str">
        <v/>
      </c>
      <c r="J725" s="29" t="str">
        <v/>
      </c>
      <c r="K725" s="29" t="str">
        <v/>
      </c>
      <c r="L725" s="29" t="str">
        <v/>
      </c>
      <c r="M725" s="29" t="str">
        <v/>
      </c>
      <c r="N725" s="29" t="str">
        <v/>
      </c>
      <c r="O725" s="2" t="str">
        <f ca="1"/>
        <v/>
      </c>
      <c r="P725" s="2" t="str">
        <f ca="1"/>
        <v/>
      </c>
      <c r="Q725" s="2" t="s">
        <v>5</v>
      </c>
      <c r="R725" s="2" t="s">
        <v>5</v>
      </c>
      <c r="U725" s="2" t="s">
        <v>231</v>
      </c>
      <c r="V725" s="2" t="e">
        <v>#N/A</v>
      </c>
      <c r="W725" s="2">
        <v>0</v>
      </c>
      <c r="X725" s="29">
        <v>0</v>
      </c>
      <c r="Y725" s="30">
        <v>0</v>
      </c>
      <c r="Z725" s="29">
        <v>0</v>
      </c>
      <c r="AA725" s="30">
        <v>0</v>
      </c>
      <c r="AB725" s="29">
        <v>6000</v>
      </c>
      <c r="AC725" s="29">
        <v>3</v>
      </c>
      <c r="AD725" s="29">
        <v>0</v>
      </c>
      <c r="AE725" s="29">
        <v>0</v>
      </c>
      <c r="AF725" s="29">
        <v>0</v>
      </c>
      <c r="AG725" s="29">
        <v>0</v>
      </c>
      <c r="AH725" s="2" t="e">
        <v>#N/A</v>
      </c>
      <c r="AI725" s="2" t="e">
        <v>#N/A</v>
      </c>
      <c r="AJ725" s="2" t="s">
        <v>5</v>
      </c>
      <c r="AK725" s="2" t="s">
        <v>5</v>
      </c>
    </row>
    <row r="726" spans="3:37" ht="12.5">
      <c r="C726" s="2" t="str">
        <f ca="1"/>
        <v/>
      </c>
      <c r="D726" s="2" t="str">
        <v/>
      </c>
      <c r="E726" s="29" t="str">
        <v/>
      </c>
      <c r="F726" s="30" t="str">
        <v/>
      </c>
      <c r="G726" s="29" t="str">
        <v/>
      </c>
      <c r="H726" s="30" t="str">
        <v/>
      </c>
      <c r="I726" s="29" t="str">
        <v/>
      </c>
      <c r="J726" s="29" t="str">
        <v/>
      </c>
      <c r="K726" s="29" t="str">
        <v/>
      </c>
      <c r="L726" s="29" t="str">
        <v/>
      </c>
      <c r="M726" s="29" t="str">
        <v/>
      </c>
      <c r="N726" s="29" t="str">
        <v/>
      </c>
      <c r="O726" s="2" t="str">
        <f ca="1"/>
        <v/>
      </c>
      <c r="P726" s="2" t="str">
        <f ca="1"/>
        <v/>
      </c>
      <c r="Q726" s="2" t="s">
        <v>5</v>
      </c>
      <c r="R726" s="2" t="s">
        <v>5</v>
      </c>
      <c r="U726" s="2" t="s">
        <v>232</v>
      </c>
      <c r="V726" s="2" t="e">
        <v>#N/A</v>
      </c>
      <c r="W726" s="2">
        <v>0</v>
      </c>
      <c r="X726" s="29">
        <v>0</v>
      </c>
      <c r="Y726" s="30">
        <v>0</v>
      </c>
      <c r="Z726" s="29">
        <v>0</v>
      </c>
      <c r="AA726" s="30">
        <v>0</v>
      </c>
      <c r="AB726" s="29">
        <v>4000</v>
      </c>
      <c r="AC726" s="29">
        <v>2</v>
      </c>
      <c r="AD726" s="29">
        <v>0</v>
      </c>
      <c r="AE726" s="29">
        <v>0</v>
      </c>
      <c r="AF726" s="29">
        <v>0</v>
      </c>
      <c r="AG726" s="29">
        <v>0</v>
      </c>
      <c r="AH726" s="2" t="e">
        <v>#N/A</v>
      </c>
      <c r="AI726" s="2" t="e">
        <v>#N/A</v>
      </c>
      <c r="AJ726" s="2" t="s">
        <v>5</v>
      </c>
      <c r="AK726" s="2" t="s">
        <v>5</v>
      </c>
    </row>
    <row r="727" spans="3:37" ht="12.5">
      <c r="C727" s="2" t="str">
        <f ca="1"/>
        <v/>
      </c>
      <c r="D727" s="2" t="str">
        <v/>
      </c>
      <c r="E727" s="29" t="str">
        <v/>
      </c>
      <c r="F727" s="30" t="str">
        <v/>
      </c>
      <c r="G727" s="29" t="str">
        <v/>
      </c>
      <c r="H727" s="30" t="str">
        <v/>
      </c>
      <c r="I727" s="29" t="str">
        <v/>
      </c>
      <c r="J727" s="29" t="str">
        <v/>
      </c>
      <c r="K727" s="29" t="str">
        <v/>
      </c>
      <c r="L727" s="29" t="str">
        <v/>
      </c>
      <c r="M727" s="29" t="str">
        <v/>
      </c>
      <c r="N727" s="29" t="str">
        <v/>
      </c>
      <c r="O727" s="2" t="str">
        <f ca="1"/>
        <v/>
      </c>
      <c r="P727" s="2" t="str">
        <f ca="1"/>
        <v/>
      </c>
      <c r="Q727" s="2" t="s">
        <v>5</v>
      </c>
      <c r="R727" s="2" t="s">
        <v>5</v>
      </c>
      <c r="U727" s="2" t="s">
        <v>234</v>
      </c>
      <c r="V727" s="2" t="e">
        <v>#N/A</v>
      </c>
      <c r="W727" s="2">
        <v>0</v>
      </c>
      <c r="X727" s="29">
        <v>0</v>
      </c>
      <c r="Y727" s="30">
        <v>0</v>
      </c>
      <c r="Z727" s="29">
        <v>0</v>
      </c>
      <c r="AA727" s="30">
        <v>0</v>
      </c>
      <c r="AB727" s="29">
        <v>6000</v>
      </c>
      <c r="AC727" s="29">
        <v>3</v>
      </c>
      <c r="AD727" s="29">
        <v>0</v>
      </c>
      <c r="AE727" s="29">
        <v>0</v>
      </c>
      <c r="AF727" s="29">
        <v>0</v>
      </c>
      <c r="AG727" s="29">
        <v>0</v>
      </c>
      <c r="AH727" s="2" t="e">
        <v>#N/A</v>
      </c>
      <c r="AI727" s="2" t="e">
        <v>#N/A</v>
      </c>
      <c r="AJ727" s="2" t="s">
        <v>5</v>
      </c>
      <c r="AK727" s="2" t="s">
        <v>5</v>
      </c>
    </row>
    <row r="728" spans="3:37" ht="12.5">
      <c r="C728" s="2" t="str">
        <f ca="1"/>
        <v/>
      </c>
      <c r="D728" s="2" t="str">
        <v/>
      </c>
      <c r="E728" s="29" t="str">
        <v/>
      </c>
      <c r="F728" s="30" t="str">
        <v/>
      </c>
      <c r="G728" s="29" t="str">
        <v/>
      </c>
      <c r="H728" s="30" t="str">
        <v/>
      </c>
      <c r="I728" s="29" t="str">
        <v/>
      </c>
      <c r="J728" s="29" t="str">
        <v/>
      </c>
      <c r="K728" s="29" t="str">
        <v/>
      </c>
      <c r="L728" s="29" t="str">
        <v/>
      </c>
      <c r="M728" s="29" t="str">
        <v/>
      </c>
      <c r="N728" s="29" t="str">
        <v/>
      </c>
      <c r="O728" s="2" t="str">
        <f ca="1"/>
        <v/>
      </c>
      <c r="P728" s="2" t="str">
        <f ca="1"/>
        <v/>
      </c>
      <c r="Q728" s="2" t="s">
        <v>5</v>
      </c>
      <c r="R728" s="2" t="s">
        <v>5</v>
      </c>
      <c r="U728" s="2" t="s">
        <v>235</v>
      </c>
      <c r="V728" s="2" t="e">
        <v>#N/A</v>
      </c>
      <c r="W728" s="2">
        <v>0</v>
      </c>
      <c r="X728" s="29">
        <v>0</v>
      </c>
      <c r="Y728" s="30">
        <v>0</v>
      </c>
      <c r="Z728" s="29">
        <v>0</v>
      </c>
      <c r="AA728" s="30">
        <v>0</v>
      </c>
      <c r="AB728" s="29">
        <v>4000</v>
      </c>
      <c r="AC728" s="29">
        <v>2</v>
      </c>
      <c r="AD728" s="29">
        <v>18000</v>
      </c>
      <c r="AE728" s="29">
        <v>9</v>
      </c>
      <c r="AF728" s="29">
        <v>0</v>
      </c>
      <c r="AG728" s="29">
        <v>0</v>
      </c>
      <c r="AH728" s="2" t="e">
        <v>#N/A</v>
      </c>
      <c r="AI728" s="2" t="e">
        <v>#N/A</v>
      </c>
      <c r="AJ728" s="2" t="s">
        <v>5</v>
      </c>
      <c r="AK728" s="2" t="s">
        <v>5</v>
      </c>
    </row>
    <row r="729" spans="3:37" ht="12.5">
      <c r="C729" s="2" t="str">
        <f ca="1"/>
        <v/>
      </c>
      <c r="D729" s="2" t="str">
        <v/>
      </c>
      <c r="E729" s="29" t="str">
        <v/>
      </c>
      <c r="F729" s="30" t="str">
        <v/>
      </c>
      <c r="G729" s="29" t="str">
        <v/>
      </c>
      <c r="H729" s="30" t="str">
        <v/>
      </c>
      <c r="I729" s="29" t="str">
        <v/>
      </c>
      <c r="J729" s="29" t="str">
        <v/>
      </c>
      <c r="K729" s="29" t="str">
        <v/>
      </c>
      <c r="L729" s="29" t="str">
        <v/>
      </c>
      <c r="M729" s="29" t="str">
        <v/>
      </c>
      <c r="N729" s="29" t="str">
        <v/>
      </c>
      <c r="O729" s="2" t="str">
        <f ca="1"/>
        <v/>
      </c>
      <c r="P729" s="2" t="str">
        <f ca="1"/>
        <v/>
      </c>
      <c r="Q729" s="2" t="s">
        <v>5</v>
      </c>
      <c r="R729" s="2" t="s">
        <v>5</v>
      </c>
      <c r="U729" s="2" t="s">
        <v>236</v>
      </c>
      <c r="V729" s="2" t="e">
        <v>#N/A</v>
      </c>
      <c r="W729" s="2">
        <v>0</v>
      </c>
      <c r="X729" s="29">
        <v>0</v>
      </c>
      <c r="Y729" s="30">
        <v>0</v>
      </c>
      <c r="Z729" s="29">
        <v>0</v>
      </c>
      <c r="AA729" s="30">
        <v>0</v>
      </c>
      <c r="AB729" s="29">
        <v>14000</v>
      </c>
      <c r="AC729" s="29">
        <v>7</v>
      </c>
      <c r="AD729" s="29">
        <v>4000</v>
      </c>
      <c r="AE729" s="29">
        <v>2</v>
      </c>
      <c r="AF729" s="29">
        <v>0</v>
      </c>
      <c r="AG729" s="29">
        <v>0</v>
      </c>
      <c r="AH729" s="2" t="e">
        <v>#N/A</v>
      </c>
      <c r="AI729" s="2" t="e">
        <v>#N/A</v>
      </c>
      <c r="AJ729" s="2" t="s">
        <v>5</v>
      </c>
      <c r="AK729" s="2" t="s">
        <v>5</v>
      </c>
    </row>
    <row r="730" spans="3:37" ht="12.5">
      <c r="C730" s="2" t="str">
        <f ca="1"/>
        <v/>
      </c>
      <c r="D730" s="2" t="str">
        <v/>
      </c>
      <c r="E730" s="29" t="str">
        <v/>
      </c>
      <c r="F730" s="30" t="str">
        <v/>
      </c>
      <c r="G730" s="29" t="str">
        <v/>
      </c>
      <c r="H730" s="30" t="str">
        <v/>
      </c>
      <c r="I730" s="29" t="str">
        <v/>
      </c>
      <c r="J730" s="29" t="str">
        <v/>
      </c>
      <c r="K730" s="29" t="str">
        <v/>
      </c>
      <c r="L730" s="29" t="str">
        <v/>
      </c>
      <c r="M730" s="29" t="str">
        <v/>
      </c>
      <c r="N730" s="29" t="str">
        <v/>
      </c>
      <c r="O730" s="2" t="str">
        <f ca="1"/>
        <v/>
      </c>
      <c r="P730" s="2" t="str">
        <f ca="1"/>
        <v/>
      </c>
      <c r="Q730" s="2" t="s">
        <v>5</v>
      </c>
      <c r="R730" s="2" t="s">
        <v>5</v>
      </c>
      <c r="U730" s="2" t="s">
        <v>237</v>
      </c>
      <c r="V730" s="2" t="e">
        <v>#N/A</v>
      </c>
      <c r="W730" s="2">
        <v>0</v>
      </c>
      <c r="X730" s="29">
        <v>0</v>
      </c>
      <c r="Y730" s="30">
        <v>0</v>
      </c>
      <c r="Z730" s="29">
        <v>0</v>
      </c>
      <c r="AA730" s="30">
        <v>0</v>
      </c>
      <c r="AB730" s="29">
        <v>10000</v>
      </c>
      <c r="AC730" s="29">
        <v>5</v>
      </c>
      <c r="AD730" s="29">
        <v>0</v>
      </c>
      <c r="AE730" s="29">
        <v>0</v>
      </c>
      <c r="AF730" s="29">
        <v>0</v>
      </c>
      <c r="AG730" s="29">
        <v>0</v>
      </c>
      <c r="AH730" s="2" t="e">
        <v>#N/A</v>
      </c>
      <c r="AI730" s="2" t="e">
        <v>#N/A</v>
      </c>
      <c r="AJ730" s="2" t="s">
        <v>5</v>
      </c>
      <c r="AK730" s="2" t="s">
        <v>5</v>
      </c>
    </row>
    <row r="731" spans="3:37" ht="12.5">
      <c r="C731" s="2" t="str">
        <f ca="1"/>
        <v/>
      </c>
      <c r="D731" s="2" t="str">
        <v/>
      </c>
      <c r="E731" s="29" t="str">
        <v/>
      </c>
      <c r="F731" s="30" t="str">
        <v/>
      </c>
      <c r="G731" s="29" t="str">
        <v/>
      </c>
      <c r="H731" s="30" t="str">
        <v/>
      </c>
      <c r="I731" s="29" t="str">
        <v/>
      </c>
      <c r="J731" s="29" t="str">
        <v/>
      </c>
      <c r="K731" s="29" t="str">
        <v/>
      </c>
      <c r="L731" s="29" t="str">
        <v/>
      </c>
      <c r="M731" s="29" t="str">
        <v/>
      </c>
      <c r="N731" s="29" t="str">
        <v/>
      </c>
      <c r="O731" s="2" t="str">
        <f ca="1"/>
        <v/>
      </c>
      <c r="P731" s="2" t="str">
        <f ca="1"/>
        <v/>
      </c>
      <c r="Q731" s="2" t="s">
        <v>5</v>
      </c>
      <c r="R731" s="2" t="s">
        <v>5</v>
      </c>
      <c r="U731" s="2" t="s">
        <v>238</v>
      </c>
      <c r="V731" s="2" t="e">
        <v>#N/A</v>
      </c>
      <c r="W731" s="2">
        <v>0</v>
      </c>
      <c r="X731" s="29">
        <v>0</v>
      </c>
      <c r="Y731" s="30">
        <v>0</v>
      </c>
      <c r="Z731" s="29">
        <v>0</v>
      </c>
      <c r="AA731" s="30">
        <v>0</v>
      </c>
      <c r="AB731" s="29">
        <v>2000</v>
      </c>
      <c r="AC731" s="29">
        <v>1</v>
      </c>
      <c r="AD731" s="29">
        <v>2000</v>
      </c>
      <c r="AE731" s="29">
        <v>1</v>
      </c>
      <c r="AF731" s="29">
        <v>0</v>
      </c>
      <c r="AG731" s="29">
        <v>0</v>
      </c>
      <c r="AH731" s="2" t="e">
        <v>#N/A</v>
      </c>
      <c r="AI731" s="2" t="e">
        <v>#N/A</v>
      </c>
      <c r="AJ731" s="2" t="s">
        <v>5</v>
      </c>
      <c r="AK731" s="2" t="s">
        <v>5</v>
      </c>
    </row>
    <row r="732" spans="3:37" ht="12.5">
      <c r="C732" s="2" t="str">
        <f ca="1"/>
        <v/>
      </c>
      <c r="D732" s="2" t="str">
        <v/>
      </c>
      <c r="E732" s="29" t="str">
        <v/>
      </c>
      <c r="F732" s="30" t="str">
        <v/>
      </c>
      <c r="G732" s="29" t="str">
        <v/>
      </c>
      <c r="H732" s="30" t="str">
        <v/>
      </c>
      <c r="I732" s="29" t="str">
        <v/>
      </c>
      <c r="J732" s="29" t="str">
        <v/>
      </c>
      <c r="K732" s="29" t="str">
        <v/>
      </c>
      <c r="L732" s="29" t="str">
        <v/>
      </c>
      <c r="M732" s="29" t="str">
        <v/>
      </c>
      <c r="N732" s="29" t="str">
        <v/>
      </c>
      <c r="O732" s="2" t="str">
        <f ca="1"/>
        <v/>
      </c>
      <c r="P732" s="2" t="str">
        <f ca="1"/>
        <v/>
      </c>
      <c r="Q732" s="2" t="s">
        <v>5</v>
      </c>
      <c r="R732" s="2" t="s">
        <v>5</v>
      </c>
      <c r="U732" s="2" t="s">
        <v>239</v>
      </c>
      <c r="V732" s="2" t="e">
        <v>#N/A</v>
      </c>
      <c r="W732" s="2">
        <v>0</v>
      </c>
      <c r="X732" s="29">
        <v>0</v>
      </c>
      <c r="Y732" s="30">
        <v>0</v>
      </c>
      <c r="Z732" s="29">
        <v>0</v>
      </c>
      <c r="AA732" s="30">
        <v>0</v>
      </c>
      <c r="AB732" s="29">
        <v>6000</v>
      </c>
      <c r="AC732" s="29">
        <v>3</v>
      </c>
      <c r="AD732" s="29">
        <v>12000</v>
      </c>
      <c r="AE732" s="29">
        <v>6</v>
      </c>
      <c r="AF732" s="29">
        <v>0</v>
      </c>
      <c r="AG732" s="29">
        <v>0</v>
      </c>
      <c r="AH732" s="2" t="e">
        <v>#N/A</v>
      </c>
      <c r="AI732" s="2" t="e">
        <v>#N/A</v>
      </c>
      <c r="AJ732" s="2" t="s">
        <v>5</v>
      </c>
      <c r="AK732" s="2" t="s">
        <v>5</v>
      </c>
    </row>
    <row r="733" spans="3:37" ht="12.5">
      <c r="C733" s="2" t="str">
        <f ca="1"/>
        <v/>
      </c>
      <c r="D733" s="2" t="str">
        <v/>
      </c>
      <c r="E733" s="29" t="str">
        <v/>
      </c>
      <c r="F733" s="30" t="str">
        <v/>
      </c>
      <c r="G733" s="29" t="str">
        <v/>
      </c>
      <c r="H733" s="30" t="str">
        <v/>
      </c>
      <c r="I733" s="29" t="str">
        <v/>
      </c>
      <c r="J733" s="29" t="str">
        <v/>
      </c>
      <c r="K733" s="29" t="str">
        <v/>
      </c>
      <c r="L733" s="29" t="str">
        <v/>
      </c>
      <c r="M733" s="29" t="str">
        <v/>
      </c>
      <c r="N733" s="29" t="str">
        <v/>
      </c>
      <c r="O733" s="2" t="str">
        <f ca="1"/>
        <v/>
      </c>
      <c r="P733" s="2" t="str">
        <f ca="1"/>
        <v/>
      </c>
      <c r="Q733" s="2" t="s">
        <v>5</v>
      </c>
      <c r="R733" s="2" t="s">
        <v>5</v>
      </c>
      <c r="U733" s="2" t="s">
        <v>413</v>
      </c>
      <c r="V733" s="2" t="e">
        <v>#N/A</v>
      </c>
      <c r="W733" s="2">
        <v>0</v>
      </c>
      <c r="X733" s="29">
        <v>0</v>
      </c>
      <c r="Y733" s="30">
        <v>0</v>
      </c>
      <c r="Z733" s="29">
        <v>0</v>
      </c>
      <c r="AA733" s="30">
        <v>0</v>
      </c>
      <c r="AB733" s="29">
        <v>4000</v>
      </c>
      <c r="AC733" s="29">
        <v>2</v>
      </c>
      <c r="AD733" s="29">
        <v>0</v>
      </c>
      <c r="AE733" s="29">
        <v>0</v>
      </c>
      <c r="AF733" s="29">
        <v>0</v>
      </c>
      <c r="AG733" s="29">
        <v>0</v>
      </c>
      <c r="AH733" s="2" t="e">
        <v>#N/A</v>
      </c>
      <c r="AI733" s="2" t="e">
        <v>#N/A</v>
      </c>
      <c r="AJ733" s="2" t="s">
        <v>5</v>
      </c>
      <c r="AK733" s="2" t="s">
        <v>5</v>
      </c>
    </row>
    <row r="734" spans="3:37" ht="12.5">
      <c r="C734" s="2" t="str">
        <f ca="1"/>
        <v/>
      </c>
      <c r="D734" s="2" t="str">
        <v/>
      </c>
      <c r="E734" s="29" t="str">
        <v/>
      </c>
      <c r="F734" s="30" t="str">
        <v/>
      </c>
      <c r="G734" s="29" t="str">
        <v/>
      </c>
      <c r="H734" s="30" t="str">
        <v/>
      </c>
      <c r="I734" s="29" t="str">
        <v/>
      </c>
      <c r="J734" s="29" t="str">
        <v/>
      </c>
      <c r="K734" s="29" t="str">
        <v/>
      </c>
      <c r="L734" s="29" t="str">
        <v/>
      </c>
      <c r="M734" s="29" t="str">
        <v/>
      </c>
      <c r="N734" s="29" t="str">
        <v/>
      </c>
      <c r="O734" s="2" t="str">
        <f ca="1"/>
        <v/>
      </c>
      <c r="P734" s="2" t="str">
        <f ca="1"/>
        <v/>
      </c>
      <c r="Q734" s="2" t="s">
        <v>5</v>
      </c>
      <c r="R734" s="2" t="s">
        <v>5</v>
      </c>
      <c r="U734" s="2" t="s">
        <v>414</v>
      </c>
      <c r="V734" s="2" t="e">
        <v>#N/A</v>
      </c>
      <c r="W734" s="2">
        <v>0</v>
      </c>
      <c r="X734" s="29">
        <v>0</v>
      </c>
      <c r="Y734" s="30">
        <v>0</v>
      </c>
      <c r="Z734" s="29">
        <v>0</v>
      </c>
      <c r="AA734" s="30">
        <v>0</v>
      </c>
      <c r="AB734" s="29">
        <v>2000</v>
      </c>
      <c r="AC734" s="29">
        <v>1</v>
      </c>
      <c r="AD734" s="29">
        <v>20000</v>
      </c>
      <c r="AE734" s="29">
        <v>10</v>
      </c>
      <c r="AF734" s="29">
        <v>0</v>
      </c>
      <c r="AG734" s="29">
        <v>0</v>
      </c>
      <c r="AH734" s="2" t="e">
        <v>#N/A</v>
      </c>
      <c r="AI734" s="2" t="e">
        <v>#N/A</v>
      </c>
      <c r="AJ734" s="2" t="s">
        <v>5</v>
      </c>
      <c r="AK734" s="2" t="s">
        <v>5</v>
      </c>
    </row>
    <row r="735" spans="3:37" ht="12.5">
      <c r="C735" s="2" t="str">
        <f ca="1"/>
        <v/>
      </c>
      <c r="D735" s="2" t="str">
        <v/>
      </c>
      <c r="E735" s="29" t="str">
        <v/>
      </c>
      <c r="F735" s="30" t="str">
        <v/>
      </c>
      <c r="G735" s="29" t="str">
        <v/>
      </c>
      <c r="H735" s="30" t="str">
        <v/>
      </c>
      <c r="I735" s="29" t="str">
        <v/>
      </c>
      <c r="J735" s="29" t="str">
        <v/>
      </c>
      <c r="K735" s="29" t="str">
        <v/>
      </c>
      <c r="L735" s="29" t="str">
        <v/>
      </c>
      <c r="M735" s="29" t="str">
        <v/>
      </c>
      <c r="N735" s="29" t="str">
        <v/>
      </c>
      <c r="O735" s="2" t="str">
        <f ca="1"/>
        <v/>
      </c>
      <c r="P735" s="2" t="str">
        <f ca="1"/>
        <v/>
      </c>
      <c r="Q735" s="2" t="s">
        <v>5</v>
      </c>
      <c r="R735" s="2" t="s">
        <v>5</v>
      </c>
      <c r="U735" s="2" t="s">
        <v>415</v>
      </c>
      <c r="V735" s="2" t="e">
        <v>#N/A</v>
      </c>
      <c r="W735" s="2">
        <v>0</v>
      </c>
      <c r="X735" s="29">
        <v>0</v>
      </c>
      <c r="Y735" s="30">
        <v>0</v>
      </c>
      <c r="Z735" s="29">
        <v>0</v>
      </c>
      <c r="AA735" s="30">
        <v>0</v>
      </c>
      <c r="AB735" s="29">
        <v>2000</v>
      </c>
      <c r="AC735" s="29">
        <v>1</v>
      </c>
      <c r="AD735" s="29">
        <v>4000</v>
      </c>
      <c r="AE735" s="29">
        <v>2</v>
      </c>
      <c r="AF735" s="29">
        <v>0</v>
      </c>
      <c r="AG735" s="29">
        <v>0</v>
      </c>
      <c r="AH735" s="2" t="e">
        <v>#N/A</v>
      </c>
      <c r="AI735" s="2" t="e">
        <v>#N/A</v>
      </c>
      <c r="AJ735" s="2" t="s">
        <v>5</v>
      </c>
      <c r="AK735" s="2" t="s">
        <v>5</v>
      </c>
    </row>
    <row r="736" spans="3:37" ht="12.5">
      <c r="C736" s="2" t="str">
        <f ca="1"/>
        <v/>
      </c>
      <c r="D736" s="2" t="str">
        <v/>
      </c>
      <c r="E736" s="29" t="str">
        <v/>
      </c>
      <c r="F736" s="30" t="str">
        <v/>
      </c>
      <c r="G736" s="29" t="str">
        <v/>
      </c>
      <c r="H736" s="30" t="str">
        <v/>
      </c>
      <c r="I736" s="29" t="str">
        <v/>
      </c>
      <c r="J736" s="29" t="str">
        <v/>
      </c>
      <c r="K736" s="29" t="str">
        <v/>
      </c>
      <c r="L736" s="29" t="str">
        <v/>
      </c>
      <c r="M736" s="29" t="str">
        <v/>
      </c>
      <c r="N736" s="29" t="str">
        <v/>
      </c>
      <c r="O736" s="2" t="str">
        <f ca="1"/>
        <v/>
      </c>
      <c r="P736" s="2" t="str">
        <f ca="1"/>
        <v/>
      </c>
      <c r="Q736" s="2" t="s">
        <v>5</v>
      </c>
      <c r="R736" s="2" t="s">
        <v>5</v>
      </c>
      <c r="U736" s="2" t="s">
        <v>417</v>
      </c>
      <c r="V736" s="2" t="e">
        <v>#N/A</v>
      </c>
      <c r="W736" s="2">
        <v>0</v>
      </c>
      <c r="X736" s="29">
        <v>0</v>
      </c>
      <c r="Y736" s="30">
        <v>0</v>
      </c>
      <c r="Z736" s="29">
        <v>0</v>
      </c>
      <c r="AA736" s="30">
        <v>0</v>
      </c>
      <c r="AB736" s="29">
        <v>4000</v>
      </c>
      <c r="AC736" s="29">
        <v>2</v>
      </c>
      <c r="AD736" s="29">
        <v>12000</v>
      </c>
      <c r="AE736" s="29">
        <v>6</v>
      </c>
      <c r="AF736" s="29">
        <v>0</v>
      </c>
      <c r="AG736" s="29">
        <v>0</v>
      </c>
      <c r="AH736" s="2" t="e">
        <v>#N/A</v>
      </c>
      <c r="AI736" s="2" t="e">
        <v>#N/A</v>
      </c>
      <c r="AJ736" s="2" t="s">
        <v>5</v>
      </c>
      <c r="AK736" s="2" t="s">
        <v>5</v>
      </c>
    </row>
    <row r="737" spans="3:37" ht="12.5">
      <c r="C737" s="2" t="str">
        <f ca="1"/>
        <v/>
      </c>
      <c r="D737" s="2" t="str">
        <v/>
      </c>
      <c r="E737" s="29" t="str">
        <v/>
      </c>
      <c r="F737" s="30" t="str">
        <v/>
      </c>
      <c r="G737" s="29" t="str">
        <v/>
      </c>
      <c r="H737" s="30" t="str">
        <v/>
      </c>
      <c r="I737" s="29" t="str">
        <v/>
      </c>
      <c r="J737" s="29" t="str">
        <v/>
      </c>
      <c r="K737" s="29" t="str">
        <v/>
      </c>
      <c r="L737" s="29" t="str">
        <v/>
      </c>
      <c r="M737" s="29" t="str">
        <v/>
      </c>
      <c r="N737" s="29" t="str">
        <v/>
      </c>
      <c r="O737" s="2" t="str">
        <f ca="1"/>
        <v/>
      </c>
      <c r="P737" s="2" t="str">
        <f ca="1"/>
        <v/>
      </c>
      <c r="Q737" s="2" t="s">
        <v>5</v>
      </c>
      <c r="R737" s="2" t="s">
        <v>5</v>
      </c>
      <c r="U737" s="2" t="s">
        <v>419</v>
      </c>
      <c r="V737" s="2" t="e">
        <v>#N/A</v>
      </c>
      <c r="W737" s="2">
        <v>0</v>
      </c>
      <c r="X737" s="29">
        <v>0</v>
      </c>
      <c r="Y737" s="30">
        <v>0</v>
      </c>
      <c r="Z737" s="29">
        <v>0</v>
      </c>
      <c r="AA737" s="30">
        <v>0</v>
      </c>
      <c r="AB737" s="29">
        <v>2000</v>
      </c>
      <c r="AC737" s="29">
        <v>1</v>
      </c>
      <c r="AD737" s="29">
        <v>6000</v>
      </c>
      <c r="AE737" s="29">
        <v>3</v>
      </c>
      <c r="AF737" s="29">
        <v>0</v>
      </c>
      <c r="AG737" s="29">
        <v>0</v>
      </c>
      <c r="AH737" s="2" t="e">
        <v>#N/A</v>
      </c>
      <c r="AI737" s="2" t="e">
        <v>#N/A</v>
      </c>
      <c r="AJ737" s="2" t="s">
        <v>5</v>
      </c>
      <c r="AK737" s="2" t="s">
        <v>5</v>
      </c>
    </row>
    <row r="738" spans="3:37" ht="12.5">
      <c r="C738" s="2" t="str">
        <f ca="1"/>
        <v/>
      </c>
      <c r="D738" s="2" t="str">
        <v/>
      </c>
      <c r="E738" s="29" t="str">
        <v/>
      </c>
      <c r="F738" s="30" t="str">
        <v/>
      </c>
      <c r="G738" s="29" t="str">
        <v/>
      </c>
      <c r="H738" s="30" t="str">
        <v/>
      </c>
      <c r="I738" s="29" t="str">
        <v/>
      </c>
      <c r="J738" s="29" t="str">
        <v/>
      </c>
      <c r="K738" s="29" t="str">
        <v/>
      </c>
      <c r="L738" s="29" t="str">
        <v/>
      </c>
      <c r="M738" s="29" t="str">
        <v/>
      </c>
      <c r="N738" s="29" t="str">
        <v/>
      </c>
      <c r="O738" s="2" t="str">
        <f ca="1"/>
        <v/>
      </c>
      <c r="P738" s="2" t="str">
        <f ca="1"/>
        <v/>
      </c>
      <c r="Q738" s="2" t="s">
        <v>5</v>
      </c>
      <c r="R738" s="2" t="s">
        <v>5</v>
      </c>
      <c r="U738" s="2" t="s">
        <v>420</v>
      </c>
      <c r="V738" s="2" t="e">
        <v>#N/A</v>
      </c>
      <c r="W738" s="2">
        <v>0</v>
      </c>
      <c r="X738" s="29">
        <v>0</v>
      </c>
      <c r="Y738" s="30">
        <v>0</v>
      </c>
      <c r="Z738" s="29">
        <v>0</v>
      </c>
      <c r="AA738" s="30">
        <v>0</v>
      </c>
      <c r="AB738" s="29">
        <v>2000</v>
      </c>
      <c r="AC738" s="29">
        <v>1</v>
      </c>
      <c r="AD738" s="29">
        <v>2000</v>
      </c>
      <c r="AE738" s="29">
        <v>1</v>
      </c>
      <c r="AF738" s="29">
        <v>0</v>
      </c>
      <c r="AG738" s="29">
        <v>0</v>
      </c>
      <c r="AH738" s="2" t="e">
        <v>#N/A</v>
      </c>
      <c r="AI738" s="2" t="e">
        <v>#N/A</v>
      </c>
      <c r="AJ738" s="2" t="s">
        <v>5</v>
      </c>
      <c r="AK738" s="2" t="s">
        <v>5</v>
      </c>
    </row>
    <row r="739" spans="3:37" ht="12.5">
      <c r="C739" s="2" t="str">
        <f ca="1"/>
        <v/>
      </c>
      <c r="D739" s="2" t="str">
        <v/>
      </c>
      <c r="E739" s="29" t="str">
        <v/>
      </c>
      <c r="F739" s="30" t="str">
        <v/>
      </c>
      <c r="G739" s="29" t="str">
        <v/>
      </c>
      <c r="H739" s="30" t="str">
        <v/>
      </c>
      <c r="I739" s="29" t="str">
        <v/>
      </c>
      <c r="J739" s="29" t="str">
        <v/>
      </c>
      <c r="K739" s="29" t="str">
        <v/>
      </c>
      <c r="L739" s="29" t="str">
        <v/>
      </c>
      <c r="M739" s="29" t="str">
        <v/>
      </c>
      <c r="N739" s="29" t="str">
        <v/>
      </c>
      <c r="O739" s="2" t="str">
        <f ca="1"/>
        <v/>
      </c>
      <c r="P739" s="2" t="str">
        <f ca="1"/>
        <v/>
      </c>
      <c r="Q739" s="2" t="s">
        <v>5</v>
      </c>
      <c r="R739" s="2" t="s">
        <v>5</v>
      </c>
      <c r="U739" s="2" t="s">
        <v>243</v>
      </c>
      <c r="V739" s="2" t="e">
        <v>#N/A</v>
      </c>
      <c r="W739" s="2">
        <v>0</v>
      </c>
      <c r="X739" s="29">
        <v>0</v>
      </c>
      <c r="Y739" s="30">
        <v>0</v>
      </c>
      <c r="Z739" s="29">
        <v>0</v>
      </c>
      <c r="AA739" s="30">
        <v>0</v>
      </c>
      <c r="AB739" s="29">
        <v>2000</v>
      </c>
      <c r="AC739" s="29">
        <v>1</v>
      </c>
      <c r="AD739" s="29">
        <v>6000</v>
      </c>
      <c r="AE739" s="29">
        <v>3</v>
      </c>
      <c r="AF739" s="29">
        <v>0</v>
      </c>
      <c r="AG739" s="29">
        <v>0</v>
      </c>
      <c r="AH739" s="2" t="e">
        <v>#N/A</v>
      </c>
      <c r="AI739" s="2" t="e">
        <v>#N/A</v>
      </c>
      <c r="AJ739" s="2" t="s">
        <v>5</v>
      </c>
      <c r="AK739" s="2" t="s">
        <v>5</v>
      </c>
    </row>
    <row r="740" spans="3:37" ht="12.5">
      <c r="C740" s="2" t="str">
        <f ca="1"/>
        <v/>
      </c>
      <c r="D740" s="2" t="str">
        <v/>
      </c>
      <c r="E740" s="29" t="str">
        <v/>
      </c>
      <c r="F740" s="30" t="str">
        <v/>
      </c>
      <c r="G740" s="29" t="str">
        <v/>
      </c>
      <c r="H740" s="30" t="str">
        <v/>
      </c>
      <c r="I740" s="29" t="str">
        <v/>
      </c>
      <c r="J740" s="29" t="str">
        <v/>
      </c>
      <c r="K740" s="29" t="str">
        <v/>
      </c>
      <c r="L740" s="29" t="str">
        <v/>
      </c>
      <c r="M740" s="29" t="str">
        <v/>
      </c>
      <c r="N740" s="29" t="str">
        <v/>
      </c>
      <c r="O740" s="2" t="str">
        <f ca="1"/>
        <v/>
      </c>
      <c r="P740" s="2" t="str">
        <f ca="1"/>
        <v/>
      </c>
      <c r="Q740" s="2" t="s">
        <v>5</v>
      </c>
      <c r="R740" s="2" t="s">
        <v>5</v>
      </c>
      <c r="U740" s="2" t="s">
        <v>246</v>
      </c>
      <c r="V740" s="2" t="e">
        <v>#N/A</v>
      </c>
      <c r="W740" s="2">
        <v>0</v>
      </c>
      <c r="X740" s="29">
        <v>0</v>
      </c>
      <c r="Y740" s="30">
        <v>0</v>
      </c>
      <c r="Z740" s="29">
        <v>0</v>
      </c>
      <c r="AA740" s="30">
        <v>0</v>
      </c>
      <c r="AB740" s="29">
        <v>4000</v>
      </c>
      <c r="AC740" s="29">
        <v>2</v>
      </c>
      <c r="AD740" s="29">
        <v>8000</v>
      </c>
      <c r="AE740" s="29">
        <v>4</v>
      </c>
      <c r="AF740" s="29">
        <v>0</v>
      </c>
      <c r="AG740" s="29">
        <v>0</v>
      </c>
      <c r="AH740" s="2" t="e">
        <v>#N/A</v>
      </c>
      <c r="AI740" s="2" t="e">
        <v>#N/A</v>
      </c>
      <c r="AJ740" s="2" t="s">
        <v>5</v>
      </c>
      <c r="AK740" s="2" t="s">
        <v>5</v>
      </c>
    </row>
    <row r="741" spans="3:37" ht="12.5">
      <c r="C741" s="2" t="str">
        <f ca="1"/>
        <v/>
      </c>
      <c r="D741" s="2" t="str">
        <v/>
      </c>
      <c r="E741" s="29" t="str">
        <v/>
      </c>
      <c r="F741" s="30" t="str">
        <v/>
      </c>
      <c r="G741" s="29" t="str">
        <v/>
      </c>
      <c r="H741" s="30" t="str">
        <v/>
      </c>
      <c r="I741" s="29" t="str">
        <v/>
      </c>
      <c r="J741" s="29" t="str">
        <v/>
      </c>
      <c r="K741" s="29" t="str">
        <v/>
      </c>
      <c r="L741" s="29" t="str">
        <v/>
      </c>
      <c r="M741" s="29" t="str">
        <v/>
      </c>
      <c r="N741" s="29" t="str">
        <v/>
      </c>
      <c r="O741" s="2" t="str">
        <f ca="1"/>
        <v/>
      </c>
      <c r="P741" s="2" t="str">
        <f ca="1"/>
        <v/>
      </c>
      <c r="Q741" s="2" t="s">
        <v>5</v>
      </c>
      <c r="R741" s="2" t="s">
        <v>5</v>
      </c>
      <c r="U741" s="2" t="s">
        <v>249</v>
      </c>
      <c r="V741" s="2" t="e">
        <v>#N/A</v>
      </c>
      <c r="W741" s="2">
        <v>0</v>
      </c>
      <c r="X741" s="29">
        <v>0</v>
      </c>
      <c r="Y741" s="30">
        <v>0</v>
      </c>
      <c r="Z741" s="29">
        <v>0</v>
      </c>
      <c r="AA741" s="30">
        <v>0</v>
      </c>
      <c r="AB741" s="29">
        <v>4000</v>
      </c>
      <c r="AC741" s="29">
        <v>2</v>
      </c>
      <c r="AD741" s="29">
        <v>0</v>
      </c>
      <c r="AE741" s="29">
        <v>0</v>
      </c>
      <c r="AF741" s="29">
        <v>0</v>
      </c>
      <c r="AG741" s="29">
        <v>0</v>
      </c>
      <c r="AH741" s="2" t="e">
        <v>#N/A</v>
      </c>
      <c r="AI741" s="2" t="e">
        <v>#N/A</v>
      </c>
      <c r="AJ741" s="2" t="s">
        <v>5</v>
      </c>
      <c r="AK741" s="2" t="s">
        <v>5</v>
      </c>
    </row>
    <row r="742" spans="3:37" ht="12.5">
      <c r="C742" s="2" t="str">
        <f ca="1"/>
        <v/>
      </c>
      <c r="D742" s="2" t="str">
        <v/>
      </c>
      <c r="E742" s="29" t="str">
        <v/>
      </c>
      <c r="F742" s="30" t="str">
        <v/>
      </c>
      <c r="G742" s="29" t="str">
        <v/>
      </c>
      <c r="H742" s="30" t="str">
        <v/>
      </c>
      <c r="I742" s="29" t="str">
        <v/>
      </c>
      <c r="J742" s="29" t="str">
        <v/>
      </c>
      <c r="K742" s="29" t="str">
        <v/>
      </c>
      <c r="L742" s="29" t="str">
        <v/>
      </c>
      <c r="M742" s="29" t="str">
        <v/>
      </c>
      <c r="N742" s="29" t="str">
        <v/>
      </c>
      <c r="O742" s="2" t="str">
        <f ca="1"/>
        <v/>
      </c>
      <c r="P742" s="2" t="str">
        <f ca="1"/>
        <v/>
      </c>
      <c r="Q742" s="2" t="s">
        <v>5</v>
      </c>
      <c r="R742" s="2" t="s">
        <v>5</v>
      </c>
      <c r="U742" s="2" t="s">
        <v>251</v>
      </c>
      <c r="V742" s="2" t="e">
        <v>#N/A</v>
      </c>
      <c r="W742" s="2">
        <v>0</v>
      </c>
      <c r="X742" s="29">
        <v>0</v>
      </c>
      <c r="Y742" s="30">
        <v>0</v>
      </c>
      <c r="Z742" s="29">
        <v>0</v>
      </c>
      <c r="AA742" s="30">
        <v>0</v>
      </c>
      <c r="AB742" s="29">
        <v>4000</v>
      </c>
      <c r="AC742" s="29">
        <v>2</v>
      </c>
      <c r="AD742" s="29">
        <v>2000</v>
      </c>
      <c r="AE742" s="29">
        <v>1</v>
      </c>
      <c r="AF742" s="29">
        <v>0</v>
      </c>
      <c r="AG742" s="29">
        <v>0</v>
      </c>
      <c r="AH742" s="2" t="e">
        <v>#N/A</v>
      </c>
      <c r="AI742" s="2" t="e">
        <v>#N/A</v>
      </c>
      <c r="AJ742" s="2" t="s">
        <v>5</v>
      </c>
      <c r="AK742" s="2" t="s">
        <v>5</v>
      </c>
    </row>
    <row r="743" spans="3:37" ht="12.5">
      <c r="C743" s="2" t="str">
        <f ca="1"/>
        <v/>
      </c>
      <c r="D743" s="2" t="str">
        <v/>
      </c>
      <c r="E743" s="29" t="str">
        <v/>
      </c>
      <c r="F743" s="30" t="str">
        <v/>
      </c>
      <c r="G743" s="29" t="str">
        <v/>
      </c>
      <c r="H743" s="30" t="str">
        <v/>
      </c>
      <c r="I743" s="29" t="str">
        <v/>
      </c>
      <c r="J743" s="29" t="str">
        <v/>
      </c>
      <c r="K743" s="29" t="str">
        <v/>
      </c>
      <c r="L743" s="29" t="str">
        <v/>
      </c>
      <c r="M743" s="29" t="str">
        <v/>
      </c>
      <c r="N743" s="29" t="str">
        <v/>
      </c>
      <c r="O743" s="2" t="str">
        <f ca="1"/>
        <v/>
      </c>
      <c r="P743" s="2" t="str">
        <f ca="1"/>
        <v/>
      </c>
      <c r="Q743" s="2" t="s">
        <v>5</v>
      </c>
      <c r="R743" s="2" t="s">
        <v>5</v>
      </c>
      <c r="U743" s="2" t="s">
        <v>254</v>
      </c>
      <c r="V743" s="2" t="e">
        <v>#N/A</v>
      </c>
      <c r="W743" s="2">
        <v>0</v>
      </c>
      <c r="X743" s="29">
        <v>0</v>
      </c>
      <c r="Y743" s="30">
        <v>0</v>
      </c>
      <c r="Z743" s="29">
        <v>0</v>
      </c>
      <c r="AA743" s="30">
        <v>0</v>
      </c>
      <c r="AB743" s="29">
        <v>2000</v>
      </c>
      <c r="AC743" s="29">
        <v>1</v>
      </c>
      <c r="AD743" s="29">
        <v>2000</v>
      </c>
      <c r="AE743" s="29">
        <v>1</v>
      </c>
      <c r="AF743" s="29">
        <v>0</v>
      </c>
      <c r="AG743" s="29">
        <v>0</v>
      </c>
      <c r="AH743" s="2" t="e">
        <v>#N/A</v>
      </c>
      <c r="AI743" s="2" t="e">
        <v>#N/A</v>
      </c>
      <c r="AJ743" s="2" t="s">
        <v>5</v>
      </c>
      <c r="AK743" s="2" t="s">
        <v>5</v>
      </c>
    </row>
    <row r="744" spans="3:37" ht="12.5">
      <c r="C744" s="2" t="str">
        <f ca="1"/>
        <v/>
      </c>
      <c r="D744" s="2" t="str">
        <v/>
      </c>
      <c r="E744" s="29" t="str">
        <v/>
      </c>
      <c r="F744" s="30" t="str">
        <v/>
      </c>
      <c r="G744" s="29" t="str">
        <v/>
      </c>
      <c r="H744" s="30" t="str">
        <v/>
      </c>
      <c r="I744" s="29" t="str">
        <v/>
      </c>
      <c r="J744" s="29" t="str">
        <v/>
      </c>
      <c r="K744" s="29" t="str">
        <v/>
      </c>
      <c r="L744" s="29" t="str">
        <v/>
      </c>
      <c r="M744" s="29" t="str">
        <v/>
      </c>
      <c r="N744" s="29" t="str">
        <v/>
      </c>
      <c r="O744" s="2" t="str">
        <f ca="1"/>
        <v/>
      </c>
      <c r="P744" s="2" t="str">
        <f ca="1"/>
        <v/>
      </c>
      <c r="Q744" s="2" t="s">
        <v>5</v>
      </c>
      <c r="R744" s="2" t="s">
        <v>5</v>
      </c>
      <c r="U744" s="2" t="s">
        <v>255</v>
      </c>
      <c r="V744" s="2" t="e">
        <v>#N/A</v>
      </c>
      <c r="W744" s="2">
        <v>0</v>
      </c>
      <c r="X744" s="29">
        <v>0</v>
      </c>
      <c r="Y744" s="30">
        <v>0</v>
      </c>
      <c r="Z744" s="29">
        <v>0</v>
      </c>
      <c r="AA744" s="30">
        <v>0</v>
      </c>
      <c r="AB744" s="29">
        <v>2000</v>
      </c>
      <c r="AC744" s="29">
        <v>1</v>
      </c>
      <c r="AD744" s="29">
        <v>0</v>
      </c>
      <c r="AE744" s="29">
        <v>0</v>
      </c>
      <c r="AF744" s="29">
        <v>0</v>
      </c>
      <c r="AG744" s="29">
        <v>0</v>
      </c>
      <c r="AH744" s="2" t="e">
        <v>#N/A</v>
      </c>
      <c r="AI744" s="2" t="e">
        <v>#N/A</v>
      </c>
      <c r="AJ744" s="2" t="s">
        <v>5</v>
      </c>
      <c r="AK744" s="2" t="s">
        <v>5</v>
      </c>
    </row>
    <row r="745" spans="3:37" ht="12.5">
      <c r="C745" s="2" t="str">
        <f ca="1"/>
        <v/>
      </c>
      <c r="D745" s="2" t="str">
        <v/>
      </c>
      <c r="E745" s="29" t="str">
        <v/>
      </c>
      <c r="F745" s="30" t="str">
        <v/>
      </c>
      <c r="G745" s="29" t="str">
        <v/>
      </c>
      <c r="H745" s="30" t="str">
        <v/>
      </c>
      <c r="I745" s="29" t="str">
        <v/>
      </c>
      <c r="J745" s="29" t="str">
        <v/>
      </c>
      <c r="K745" s="29" t="str">
        <v/>
      </c>
      <c r="L745" s="29" t="str">
        <v/>
      </c>
      <c r="M745" s="29" t="str">
        <v/>
      </c>
      <c r="N745" s="29" t="str">
        <v/>
      </c>
      <c r="O745" s="2" t="str">
        <f ca="1"/>
        <v/>
      </c>
      <c r="P745" s="2" t="str">
        <f ca="1"/>
        <v/>
      </c>
      <c r="Q745" s="2" t="s">
        <v>5</v>
      </c>
      <c r="R745" s="2" t="s">
        <v>5</v>
      </c>
      <c r="U745" s="2" t="s">
        <v>256</v>
      </c>
      <c r="V745" s="2" t="e">
        <v>#N/A</v>
      </c>
      <c r="W745" s="2">
        <v>0</v>
      </c>
      <c r="X745" s="29">
        <v>0</v>
      </c>
      <c r="Y745" s="30">
        <v>0</v>
      </c>
      <c r="Z745" s="29">
        <v>0</v>
      </c>
      <c r="AA745" s="30">
        <v>0</v>
      </c>
      <c r="AB745" s="29">
        <v>8000</v>
      </c>
      <c r="AC745" s="29">
        <v>4</v>
      </c>
      <c r="AD745" s="29">
        <v>6000</v>
      </c>
      <c r="AE745" s="29">
        <v>3</v>
      </c>
      <c r="AF745" s="29">
        <v>0</v>
      </c>
      <c r="AG745" s="29">
        <v>0</v>
      </c>
      <c r="AH745" s="2" t="e">
        <v>#N/A</v>
      </c>
      <c r="AI745" s="2" t="e">
        <v>#N/A</v>
      </c>
      <c r="AJ745" s="2" t="s">
        <v>5</v>
      </c>
      <c r="AK745" s="2" t="s">
        <v>5</v>
      </c>
    </row>
    <row r="746" spans="3:37" ht="12.5">
      <c r="C746" s="2" t="str">
        <f ca="1"/>
        <v/>
      </c>
      <c r="D746" s="2" t="str">
        <v/>
      </c>
      <c r="E746" s="29" t="str">
        <v/>
      </c>
      <c r="F746" s="30" t="str">
        <v/>
      </c>
      <c r="G746" s="29" t="str">
        <v/>
      </c>
      <c r="H746" s="30" t="str">
        <v/>
      </c>
      <c r="I746" s="29" t="str">
        <v/>
      </c>
      <c r="J746" s="29" t="str">
        <v/>
      </c>
      <c r="K746" s="29" t="str">
        <v/>
      </c>
      <c r="L746" s="29" t="str">
        <v/>
      </c>
      <c r="M746" s="29" t="str">
        <v/>
      </c>
      <c r="N746" s="29" t="str">
        <v/>
      </c>
      <c r="O746" s="2" t="str">
        <f ca="1"/>
        <v/>
      </c>
      <c r="P746" s="2" t="str">
        <f ca="1"/>
        <v/>
      </c>
      <c r="Q746" s="2" t="s">
        <v>5</v>
      </c>
      <c r="R746" s="2" t="s">
        <v>5</v>
      </c>
      <c r="U746" s="2" t="s">
        <v>259</v>
      </c>
      <c r="V746" s="2" t="e">
        <v>#N/A</v>
      </c>
      <c r="W746" s="2">
        <v>0</v>
      </c>
      <c r="X746" s="29">
        <v>0</v>
      </c>
      <c r="Y746" s="30">
        <v>0</v>
      </c>
      <c r="Z746" s="29">
        <v>0</v>
      </c>
      <c r="AA746" s="30">
        <v>0</v>
      </c>
      <c r="AB746" s="29">
        <v>4000</v>
      </c>
      <c r="AC746" s="29">
        <v>2</v>
      </c>
      <c r="AD746" s="29">
        <v>10000</v>
      </c>
      <c r="AE746" s="29">
        <v>5</v>
      </c>
      <c r="AF746" s="29">
        <v>0</v>
      </c>
      <c r="AG746" s="29">
        <v>0</v>
      </c>
      <c r="AH746" s="2" t="e">
        <v>#N/A</v>
      </c>
      <c r="AI746" s="2" t="e">
        <v>#N/A</v>
      </c>
      <c r="AJ746" s="2" t="s">
        <v>5</v>
      </c>
      <c r="AK746" s="2" t="s">
        <v>5</v>
      </c>
    </row>
    <row r="747" spans="3:37" ht="12.5">
      <c r="C747" s="2" t="str">
        <f ca="1"/>
        <v/>
      </c>
      <c r="D747" s="2" t="str">
        <v/>
      </c>
      <c r="E747" s="29" t="str">
        <v/>
      </c>
      <c r="F747" s="30" t="str">
        <v/>
      </c>
      <c r="G747" s="29" t="str">
        <v/>
      </c>
      <c r="H747" s="30" t="str">
        <v/>
      </c>
      <c r="I747" s="29" t="str">
        <v/>
      </c>
      <c r="J747" s="29" t="str">
        <v/>
      </c>
      <c r="K747" s="29" t="str">
        <v/>
      </c>
      <c r="L747" s="29" t="str">
        <v/>
      </c>
      <c r="M747" s="29" t="str">
        <v/>
      </c>
      <c r="N747" s="29" t="str">
        <v/>
      </c>
      <c r="O747" s="2" t="str">
        <f ca="1"/>
        <v/>
      </c>
      <c r="P747" s="2" t="str">
        <f ca="1"/>
        <v/>
      </c>
      <c r="Q747" s="2" t="s">
        <v>5</v>
      </c>
      <c r="R747" s="2" t="s">
        <v>5</v>
      </c>
      <c r="U747" s="2" t="s">
        <v>261</v>
      </c>
      <c r="V747" s="2" t="e">
        <v>#N/A</v>
      </c>
      <c r="W747" s="2">
        <v>0</v>
      </c>
      <c r="X747" s="29">
        <v>0</v>
      </c>
      <c r="Y747" s="30">
        <v>0</v>
      </c>
      <c r="Z747" s="29">
        <v>0</v>
      </c>
      <c r="AA747" s="30">
        <v>0</v>
      </c>
      <c r="AB747" s="29">
        <v>2000</v>
      </c>
      <c r="AC747" s="29">
        <v>1</v>
      </c>
      <c r="AD747" s="29">
        <v>0</v>
      </c>
      <c r="AE747" s="29">
        <v>0</v>
      </c>
      <c r="AF747" s="29">
        <v>0</v>
      </c>
      <c r="AG747" s="29">
        <v>0</v>
      </c>
      <c r="AH747" s="2" t="e">
        <v>#N/A</v>
      </c>
      <c r="AI747" s="2" t="e">
        <v>#N/A</v>
      </c>
      <c r="AJ747" s="2" t="s">
        <v>5</v>
      </c>
      <c r="AK747" s="2" t="s">
        <v>5</v>
      </c>
    </row>
    <row r="748" spans="3:37" ht="12.5">
      <c r="C748" s="2" t="str">
        <f ca="1"/>
        <v/>
      </c>
      <c r="D748" s="2" t="str">
        <v/>
      </c>
      <c r="E748" s="29" t="str">
        <v/>
      </c>
      <c r="F748" s="30" t="str">
        <v/>
      </c>
      <c r="G748" s="29" t="str">
        <v/>
      </c>
      <c r="H748" s="30" t="str">
        <v/>
      </c>
      <c r="I748" s="29" t="str">
        <v/>
      </c>
      <c r="J748" s="29" t="str">
        <v/>
      </c>
      <c r="K748" s="29" t="str">
        <v/>
      </c>
      <c r="L748" s="29" t="str">
        <v/>
      </c>
      <c r="M748" s="29" t="str">
        <v/>
      </c>
      <c r="N748" s="29" t="str">
        <v/>
      </c>
      <c r="O748" s="2" t="str">
        <f ca="1"/>
        <v/>
      </c>
      <c r="P748" s="2" t="str">
        <f ca="1"/>
        <v/>
      </c>
      <c r="Q748" s="2" t="s">
        <v>5</v>
      </c>
      <c r="R748" s="2" t="s">
        <v>5</v>
      </c>
      <c r="U748" s="2" t="s">
        <v>263</v>
      </c>
      <c r="V748" s="2" t="e">
        <v>#N/A</v>
      </c>
      <c r="W748" s="2">
        <v>0</v>
      </c>
      <c r="X748" s="29">
        <v>0</v>
      </c>
      <c r="Y748" s="30">
        <v>0</v>
      </c>
      <c r="Z748" s="29">
        <v>0</v>
      </c>
      <c r="AA748" s="30">
        <v>0</v>
      </c>
      <c r="AB748" s="29">
        <v>2000</v>
      </c>
      <c r="AC748" s="29">
        <v>1</v>
      </c>
      <c r="AD748" s="29">
        <v>2000</v>
      </c>
      <c r="AE748" s="29">
        <v>1</v>
      </c>
      <c r="AF748" s="29">
        <v>0</v>
      </c>
      <c r="AG748" s="29">
        <v>0</v>
      </c>
      <c r="AH748" s="2" t="e">
        <v>#N/A</v>
      </c>
      <c r="AI748" s="2" t="e">
        <v>#N/A</v>
      </c>
      <c r="AJ748" s="2" t="s">
        <v>5</v>
      </c>
      <c r="AK748" s="2" t="s">
        <v>5</v>
      </c>
    </row>
    <row r="749" spans="3:37" ht="12.5">
      <c r="C749" s="2" t="str">
        <f ca="1"/>
        <v/>
      </c>
      <c r="D749" s="2" t="str">
        <v/>
      </c>
      <c r="E749" s="29" t="str">
        <v/>
      </c>
      <c r="F749" s="30" t="str">
        <v/>
      </c>
      <c r="G749" s="29" t="str">
        <v/>
      </c>
      <c r="H749" s="30" t="str">
        <v/>
      </c>
      <c r="I749" s="29" t="str">
        <v/>
      </c>
      <c r="J749" s="29" t="str">
        <v/>
      </c>
      <c r="K749" s="29" t="str">
        <v/>
      </c>
      <c r="L749" s="29" t="str">
        <v/>
      </c>
      <c r="M749" s="29" t="str">
        <v/>
      </c>
      <c r="N749" s="29" t="str">
        <v/>
      </c>
      <c r="O749" s="2" t="str">
        <f ca="1"/>
        <v/>
      </c>
      <c r="P749" s="2" t="str">
        <f ca="1"/>
        <v/>
      </c>
      <c r="Q749" s="2" t="s">
        <v>5</v>
      </c>
      <c r="R749" s="2" t="s">
        <v>5</v>
      </c>
      <c r="U749" s="2" t="s">
        <v>264</v>
      </c>
      <c r="V749" s="2" t="e">
        <v>#N/A</v>
      </c>
      <c r="W749" s="2">
        <v>0</v>
      </c>
      <c r="X749" s="29">
        <v>0</v>
      </c>
      <c r="Y749" s="30">
        <v>0</v>
      </c>
      <c r="Z749" s="29">
        <v>0</v>
      </c>
      <c r="AA749" s="30">
        <v>0</v>
      </c>
      <c r="AB749" s="29">
        <v>12000</v>
      </c>
      <c r="AC749" s="29">
        <v>6</v>
      </c>
      <c r="AD749" s="29">
        <v>12000</v>
      </c>
      <c r="AE749" s="29">
        <v>6</v>
      </c>
      <c r="AF749" s="29">
        <v>0</v>
      </c>
      <c r="AG749" s="29">
        <v>0</v>
      </c>
      <c r="AH749" s="2" t="e">
        <v>#N/A</v>
      </c>
      <c r="AI749" s="2" t="e">
        <v>#N/A</v>
      </c>
      <c r="AJ749" s="2" t="s">
        <v>5</v>
      </c>
      <c r="AK749" s="2" t="s">
        <v>5</v>
      </c>
    </row>
    <row r="750" spans="3:37" ht="12.5">
      <c r="C750" s="2" t="str">
        <f ca="1"/>
        <v/>
      </c>
      <c r="D750" s="2" t="str">
        <v/>
      </c>
      <c r="E750" s="29" t="str">
        <v/>
      </c>
      <c r="F750" s="30" t="str">
        <v/>
      </c>
      <c r="G750" s="29" t="str">
        <v/>
      </c>
      <c r="H750" s="30" t="str">
        <v/>
      </c>
      <c r="I750" s="29" t="str">
        <v/>
      </c>
      <c r="J750" s="29" t="str">
        <v/>
      </c>
      <c r="K750" s="29" t="str">
        <v/>
      </c>
      <c r="L750" s="29" t="str">
        <v/>
      </c>
      <c r="M750" s="29" t="str">
        <v/>
      </c>
      <c r="N750" s="29" t="str">
        <v/>
      </c>
      <c r="O750" s="2" t="str">
        <f ca="1"/>
        <v/>
      </c>
      <c r="P750" s="2" t="str">
        <f ca="1"/>
        <v/>
      </c>
      <c r="Q750" s="2" t="s">
        <v>5</v>
      </c>
      <c r="R750" s="2" t="s">
        <v>5</v>
      </c>
      <c r="U750" s="2" t="s">
        <v>265</v>
      </c>
      <c r="V750" s="2" t="e">
        <v>#N/A</v>
      </c>
      <c r="W750" s="2">
        <v>0</v>
      </c>
      <c r="X750" s="29">
        <v>0</v>
      </c>
      <c r="Y750" s="30">
        <v>0</v>
      </c>
      <c r="Z750" s="29">
        <v>0</v>
      </c>
      <c r="AA750" s="30">
        <v>0</v>
      </c>
      <c r="AB750" s="29">
        <v>6000</v>
      </c>
      <c r="AC750" s="29">
        <v>3</v>
      </c>
      <c r="AD750" s="29">
        <v>4000</v>
      </c>
      <c r="AE750" s="29">
        <v>2</v>
      </c>
      <c r="AF750" s="29">
        <v>0</v>
      </c>
      <c r="AG750" s="29">
        <v>0</v>
      </c>
      <c r="AH750" s="2" t="e">
        <v>#N/A</v>
      </c>
      <c r="AI750" s="2" t="e">
        <v>#N/A</v>
      </c>
      <c r="AJ750" s="2" t="s">
        <v>5</v>
      </c>
      <c r="AK750" s="2" t="s">
        <v>5</v>
      </c>
    </row>
    <row r="751" spans="3:37" ht="12.5">
      <c r="C751" s="2" t="str">
        <f ca="1"/>
        <v/>
      </c>
      <c r="D751" s="2" t="str">
        <v/>
      </c>
      <c r="E751" s="29" t="str">
        <v/>
      </c>
      <c r="F751" s="30" t="str">
        <v/>
      </c>
      <c r="G751" s="29" t="str">
        <v/>
      </c>
      <c r="H751" s="30" t="str">
        <v/>
      </c>
      <c r="I751" s="29" t="str">
        <v/>
      </c>
      <c r="J751" s="29" t="str">
        <v/>
      </c>
      <c r="K751" s="29" t="str">
        <v/>
      </c>
      <c r="L751" s="29" t="str">
        <v/>
      </c>
      <c r="M751" s="29" t="str">
        <v/>
      </c>
      <c r="N751" s="29" t="str">
        <v/>
      </c>
      <c r="O751" s="2" t="str">
        <f ca="1"/>
        <v/>
      </c>
      <c r="P751" s="2" t="str">
        <f ca="1"/>
        <v/>
      </c>
      <c r="Q751" s="2" t="s">
        <v>5</v>
      </c>
      <c r="R751" s="2" t="s">
        <v>5</v>
      </c>
      <c r="U751" s="2" t="s">
        <v>269</v>
      </c>
      <c r="V751" s="2" t="e">
        <v>#N/A</v>
      </c>
      <c r="W751" s="2">
        <v>0</v>
      </c>
      <c r="X751" s="29">
        <v>0</v>
      </c>
      <c r="Y751" s="30">
        <v>0</v>
      </c>
      <c r="Z751" s="29">
        <v>0</v>
      </c>
      <c r="AA751" s="30">
        <v>0</v>
      </c>
      <c r="AB751" s="29">
        <v>2000</v>
      </c>
      <c r="AC751" s="29">
        <v>1</v>
      </c>
      <c r="AD751" s="29">
        <v>0</v>
      </c>
      <c r="AE751" s="29">
        <v>0</v>
      </c>
      <c r="AF751" s="29">
        <v>0</v>
      </c>
      <c r="AG751" s="29">
        <v>0</v>
      </c>
      <c r="AH751" s="2" t="e">
        <v>#N/A</v>
      </c>
      <c r="AI751" s="2" t="e">
        <v>#N/A</v>
      </c>
      <c r="AJ751" s="2" t="s">
        <v>5</v>
      </c>
      <c r="AK751" s="2" t="s">
        <v>5</v>
      </c>
    </row>
    <row r="752" spans="3:37" ht="12.5">
      <c r="C752" s="2" t="str">
        <f ca="1"/>
        <v/>
      </c>
      <c r="D752" s="2" t="str">
        <v/>
      </c>
      <c r="E752" s="29" t="str">
        <v/>
      </c>
      <c r="F752" s="30" t="str">
        <v/>
      </c>
      <c r="G752" s="29" t="str">
        <v/>
      </c>
      <c r="H752" s="30" t="str">
        <v/>
      </c>
      <c r="I752" s="29" t="str">
        <v/>
      </c>
      <c r="J752" s="29" t="str">
        <v/>
      </c>
      <c r="K752" s="29" t="str">
        <v/>
      </c>
      <c r="L752" s="29" t="str">
        <v/>
      </c>
      <c r="M752" s="29" t="str">
        <v/>
      </c>
      <c r="N752" s="29" t="str">
        <v/>
      </c>
      <c r="O752" s="2" t="str">
        <f ca="1"/>
        <v/>
      </c>
      <c r="P752" s="2" t="str">
        <f ca="1"/>
        <v/>
      </c>
      <c r="Q752" s="2" t="s">
        <v>5</v>
      </c>
      <c r="R752" s="2" t="s">
        <v>5</v>
      </c>
      <c r="U752" s="2" t="s">
        <v>270</v>
      </c>
      <c r="V752" s="2" t="e">
        <v>#N/A</v>
      </c>
      <c r="W752" s="2">
        <v>0</v>
      </c>
      <c r="X752" s="29">
        <v>0</v>
      </c>
      <c r="Y752" s="30">
        <v>0</v>
      </c>
      <c r="Z752" s="29">
        <v>0</v>
      </c>
      <c r="AA752" s="30">
        <v>0</v>
      </c>
      <c r="AB752" s="29">
        <v>2000</v>
      </c>
      <c r="AC752" s="29">
        <v>1</v>
      </c>
      <c r="AD752" s="29">
        <v>0</v>
      </c>
      <c r="AE752" s="29">
        <v>0</v>
      </c>
      <c r="AF752" s="29">
        <v>0</v>
      </c>
      <c r="AG752" s="29">
        <v>0</v>
      </c>
      <c r="AH752" s="2" t="e">
        <v>#N/A</v>
      </c>
      <c r="AI752" s="2" t="e">
        <v>#N/A</v>
      </c>
      <c r="AJ752" s="2" t="s">
        <v>5</v>
      </c>
      <c r="AK752" s="2" t="s">
        <v>5</v>
      </c>
    </row>
    <row r="753" spans="3:37" ht="12.5">
      <c r="C753" s="2" t="str">
        <f ca="1"/>
        <v/>
      </c>
      <c r="D753" s="2" t="str">
        <v/>
      </c>
      <c r="E753" s="29" t="str">
        <v/>
      </c>
      <c r="F753" s="30" t="str">
        <v/>
      </c>
      <c r="G753" s="29" t="str">
        <v/>
      </c>
      <c r="H753" s="30" t="str">
        <v/>
      </c>
      <c r="I753" s="29" t="str">
        <v/>
      </c>
      <c r="J753" s="29" t="str">
        <v/>
      </c>
      <c r="K753" s="29" t="str">
        <v/>
      </c>
      <c r="L753" s="29" t="str">
        <v/>
      </c>
      <c r="M753" s="29" t="str">
        <v/>
      </c>
      <c r="N753" s="29" t="str">
        <v/>
      </c>
      <c r="O753" s="2" t="str">
        <f ca="1"/>
        <v/>
      </c>
      <c r="P753" s="2" t="str">
        <f ca="1"/>
        <v/>
      </c>
      <c r="Q753" s="2" t="s">
        <v>5</v>
      </c>
      <c r="R753" s="2" t="s">
        <v>5</v>
      </c>
      <c r="U753" s="2" t="s">
        <v>272</v>
      </c>
      <c r="V753" s="2" t="e">
        <v>#N/A</v>
      </c>
      <c r="W753" s="2">
        <v>0</v>
      </c>
      <c r="X753" s="29">
        <v>0</v>
      </c>
      <c r="Y753" s="30">
        <v>0</v>
      </c>
      <c r="Z753" s="29">
        <v>0</v>
      </c>
      <c r="AA753" s="30">
        <v>0</v>
      </c>
      <c r="AB753" s="29">
        <v>4000</v>
      </c>
      <c r="AC753" s="29">
        <v>2</v>
      </c>
      <c r="AD753" s="29">
        <v>2000</v>
      </c>
      <c r="AE753" s="29">
        <v>1</v>
      </c>
      <c r="AF753" s="29">
        <v>0</v>
      </c>
      <c r="AG753" s="29">
        <v>0</v>
      </c>
      <c r="AH753" s="2" t="e">
        <v>#N/A</v>
      </c>
      <c r="AI753" s="2" t="e">
        <v>#N/A</v>
      </c>
      <c r="AJ753" s="2" t="s">
        <v>5</v>
      </c>
      <c r="AK753" s="2" t="s">
        <v>5</v>
      </c>
    </row>
    <row r="754" spans="3:37" ht="12.5">
      <c r="C754" s="2" t="str">
        <f ca="1"/>
        <v/>
      </c>
      <c r="D754" s="2" t="str">
        <v/>
      </c>
      <c r="E754" s="29" t="str">
        <v/>
      </c>
      <c r="F754" s="30" t="str">
        <v/>
      </c>
      <c r="G754" s="29" t="str">
        <v/>
      </c>
      <c r="H754" s="30" t="str">
        <v/>
      </c>
      <c r="I754" s="29" t="str">
        <v/>
      </c>
      <c r="J754" s="29" t="str">
        <v/>
      </c>
      <c r="K754" s="29" t="str">
        <v/>
      </c>
      <c r="L754" s="29" t="str">
        <v/>
      </c>
      <c r="M754" s="29" t="str">
        <v/>
      </c>
      <c r="N754" s="29" t="str">
        <v/>
      </c>
      <c r="O754" s="2" t="str">
        <f ca="1"/>
        <v/>
      </c>
      <c r="P754" s="2" t="str">
        <f ca="1"/>
        <v/>
      </c>
      <c r="Q754" s="2" t="s">
        <v>5</v>
      </c>
      <c r="R754" s="2" t="s">
        <v>5</v>
      </c>
      <c r="U754" s="2" t="s">
        <v>273</v>
      </c>
      <c r="V754" s="2" t="e">
        <v>#N/A</v>
      </c>
      <c r="W754" s="2">
        <v>0</v>
      </c>
      <c r="X754" s="29">
        <v>0</v>
      </c>
      <c r="Y754" s="30">
        <v>0</v>
      </c>
      <c r="Z754" s="29">
        <v>0</v>
      </c>
      <c r="AA754" s="30">
        <v>0</v>
      </c>
      <c r="AB754" s="29">
        <v>2000</v>
      </c>
      <c r="AC754" s="29">
        <v>1</v>
      </c>
      <c r="AD754" s="29">
        <v>4000</v>
      </c>
      <c r="AE754" s="29">
        <v>2</v>
      </c>
      <c r="AF754" s="29">
        <v>0</v>
      </c>
      <c r="AG754" s="29">
        <v>0</v>
      </c>
      <c r="AH754" s="2" t="e">
        <v>#N/A</v>
      </c>
      <c r="AI754" s="2" t="e">
        <v>#N/A</v>
      </c>
      <c r="AJ754" s="2" t="s">
        <v>5</v>
      </c>
      <c r="AK754" s="2" t="s">
        <v>5</v>
      </c>
    </row>
    <row r="755" spans="3:37" ht="12.5">
      <c r="C755" s="2" t="str">
        <f ca="1"/>
        <v/>
      </c>
      <c r="D755" s="2" t="str">
        <v/>
      </c>
      <c r="E755" s="29" t="str">
        <v/>
      </c>
      <c r="F755" s="30" t="str">
        <v/>
      </c>
      <c r="G755" s="29" t="str">
        <v/>
      </c>
      <c r="H755" s="30" t="str">
        <v/>
      </c>
      <c r="I755" s="29" t="str">
        <v/>
      </c>
      <c r="J755" s="29" t="str">
        <v/>
      </c>
      <c r="K755" s="29" t="str">
        <v/>
      </c>
      <c r="L755" s="29" t="str">
        <v/>
      </c>
      <c r="M755" s="29" t="str">
        <v/>
      </c>
      <c r="N755" s="29" t="str">
        <v/>
      </c>
      <c r="O755" s="2" t="str">
        <f ca="1"/>
        <v/>
      </c>
      <c r="P755" s="2" t="str">
        <f ca="1"/>
        <v/>
      </c>
      <c r="Q755" s="2" t="s">
        <v>5</v>
      </c>
      <c r="R755" s="2" t="s">
        <v>5</v>
      </c>
      <c r="U755" s="2" t="s">
        <v>278</v>
      </c>
      <c r="V755" s="2" t="e">
        <v>#N/A</v>
      </c>
      <c r="W755" s="2">
        <v>0</v>
      </c>
      <c r="X755" s="29">
        <v>0</v>
      </c>
      <c r="Y755" s="30">
        <v>0</v>
      </c>
      <c r="Z755" s="29">
        <v>0</v>
      </c>
      <c r="AA755" s="30">
        <v>0</v>
      </c>
      <c r="AB755" s="29">
        <v>6000</v>
      </c>
      <c r="AC755" s="29">
        <v>3</v>
      </c>
      <c r="AD755" s="29">
        <v>6000</v>
      </c>
      <c r="AE755" s="29">
        <v>3</v>
      </c>
      <c r="AF755" s="29">
        <v>0</v>
      </c>
      <c r="AG755" s="29">
        <v>0</v>
      </c>
      <c r="AH755" s="2" t="e">
        <v>#N/A</v>
      </c>
      <c r="AI755" s="2" t="e">
        <v>#N/A</v>
      </c>
      <c r="AJ755" s="2" t="s">
        <v>5</v>
      </c>
      <c r="AK755" s="2" t="s">
        <v>5</v>
      </c>
    </row>
    <row r="756" spans="3:37" ht="12.5">
      <c r="C756" s="2" t="str">
        <f ca="1"/>
        <v/>
      </c>
      <c r="D756" s="2" t="str">
        <v/>
      </c>
      <c r="E756" s="29" t="str">
        <v/>
      </c>
      <c r="F756" s="30" t="str">
        <v/>
      </c>
      <c r="G756" s="29" t="str">
        <v/>
      </c>
      <c r="H756" s="30" t="str">
        <v/>
      </c>
      <c r="I756" s="29" t="str">
        <v/>
      </c>
      <c r="J756" s="29" t="str">
        <v/>
      </c>
      <c r="K756" s="29" t="str">
        <v/>
      </c>
      <c r="L756" s="29" t="str">
        <v/>
      </c>
      <c r="M756" s="29" t="str">
        <v/>
      </c>
      <c r="N756" s="29" t="str">
        <v/>
      </c>
      <c r="O756" s="2" t="str">
        <f ca="1"/>
        <v/>
      </c>
      <c r="P756" s="2" t="str">
        <f ca="1"/>
        <v/>
      </c>
      <c r="Q756" s="2" t="s">
        <v>5</v>
      </c>
      <c r="R756" s="2" t="s">
        <v>5</v>
      </c>
      <c r="U756" s="2" t="s">
        <v>283</v>
      </c>
      <c r="V756" s="2" t="e">
        <v>#N/A</v>
      </c>
      <c r="W756" s="2">
        <v>0</v>
      </c>
      <c r="X756" s="29">
        <v>0</v>
      </c>
      <c r="Y756" s="30">
        <v>0</v>
      </c>
      <c r="Z756" s="29">
        <v>0</v>
      </c>
      <c r="AA756" s="30">
        <v>0</v>
      </c>
      <c r="AB756" s="29">
        <v>2000</v>
      </c>
      <c r="AC756" s="29">
        <v>1</v>
      </c>
      <c r="AD756" s="29">
        <v>0</v>
      </c>
      <c r="AE756" s="29">
        <v>0</v>
      </c>
      <c r="AF756" s="29">
        <v>0</v>
      </c>
      <c r="AG756" s="29">
        <v>0</v>
      </c>
      <c r="AH756" s="2" t="e">
        <v>#N/A</v>
      </c>
      <c r="AI756" s="2" t="e">
        <v>#N/A</v>
      </c>
      <c r="AJ756" s="2" t="s">
        <v>5</v>
      </c>
      <c r="AK756" s="2" t="s">
        <v>5</v>
      </c>
    </row>
    <row r="757" spans="3:37" ht="12.5">
      <c r="C757" s="2" t="str">
        <f ca="1"/>
        <v/>
      </c>
      <c r="D757" s="2" t="str">
        <v/>
      </c>
      <c r="E757" s="29" t="str">
        <v/>
      </c>
      <c r="F757" s="30" t="str">
        <v/>
      </c>
      <c r="G757" s="29" t="str">
        <v/>
      </c>
      <c r="H757" s="30" t="str">
        <v/>
      </c>
      <c r="I757" s="29" t="str">
        <v/>
      </c>
      <c r="J757" s="29" t="str">
        <v/>
      </c>
      <c r="K757" s="29" t="str">
        <v/>
      </c>
      <c r="L757" s="29" t="str">
        <v/>
      </c>
      <c r="M757" s="29" t="str">
        <v/>
      </c>
      <c r="N757" s="29" t="str">
        <v/>
      </c>
      <c r="O757" s="2" t="str">
        <f ca="1"/>
        <v/>
      </c>
      <c r="P757" s="2" t="str">
        <f ca="1"/>
        <v/>
      </c>
      <c r="Q757" s="2" t="s">
        <v>5</v>
      </c>
      <c r="R757" s="2" t="s">
        <v>5</v>
      </c>
      <c r="U757" s="2" t="s">
        <v>284</v>
      </c>
      <c r="V757" s="2" t="e">
        <v>#N/A</v>
      </c>
      <c r="W757" s="2">
        <v>0</v>
      </c>
      <c r="X757" s="29">
        <v>0</v>
      </c>
      <c r="Y757" s="30">
        <v>0</v>
      </c>
      <c r="Z757" s="29">
        <v>0</v>
      </c>
      <c r="AA757" s="30">
        <v>0</v>
      </c>
      <c r="AB757" s="29">
        <v>8000</v>
      </c>
      <c r="AC757" s="29">
        <v>4</v>
      </c>
      <c r="AD757" s="29">
        <v>8000</v>
      </c>
      <c r="AE757" s="29">
        <v>4</v>
      </c>
      <c r="AF757" s="29">
        <v>0</v>
      </c>
      <c r="AG757" s="29">
        <v>0</v>
      </c>
      <c r="AH757" s="2" t="e">
        <v>#N/A</v>
      </c>
      <c r="AI757" s="2" t="e">
        <v>#N/A</v>
      </c>
      <c r="AJ757" s="2" t="s">
        <v>5</v>
      </c>
      <c r="AK757" s="2" t="s">
        <v>5</v>
      </c>
    </row>
    <row r="758" spans="3:37" ht="12.5">
      <c r="C758" s="2" t="str">
        <f ca="1"/>
        <v/>
      </c>
      <c r="D758" s="2" t="str">
        <v/>
      </c>
      <c r="E758" s="29" t="str">
        <v/>
      </c>
      <c r="F758" s="30" t="str">
        <v/>
      </c>
      <c r="G758" s="29" t="str">
        <v/>
      </c>
      <c r="H758" s="30" t="str">
        <v/>
      </c>
      <c r="I758" s="29" t="str">
        <v/>
      </c>
      <c r="J758" s="29" t="str">
        <v/>
      </c>
      <c r="K758" s="29" t="str">
        <v/>
      </c>
      <c r="L758" s="29" t="str">
        <v/>
      </c>
      <c r="M758" s="29" t="str">
        <v/>
      </c>
      <c r="N758" s="29" t="str">
        <v/>
      </c>
      <c r="O758" s="2" t="str">
        <f ca="1"/>
        <v/>
      </c>
      <c r="P758" s="2" t="str">
        <f ca="1"/>
        <v/>
      </c>
      <c r="Q758" s="2" t="s">
        <v>5</v>
      </c>
      <c r="R758" s="2" t="s">
        <v>5</v>
      </c>
      <c r="U758" s="2" t="s">
        <v>285</v>
      </c>
      <c r="V758" s="2" t="e">
        <v>#N/A</v>
      </c>
      <c r="W758" s="2">
        <v>0</v>
      </c>
      <c r="X758" s="29">
        <v>0</v>
      </c>
      <c r="Y758" s="30">
        <v>0</v>
      </c>
      <c r="Z758" s="29">
        <v>0</v>
      </c>
      <c r="AA758" s="30">
        <v>0</v>
      </c>
      <c r="AB758" s="29">
        <v>2000</v>
      </c>
      <c r="AC758" s="29">
        <v>1</v>
      </c>
      <c r="AD758" s="29">
        <v>0</v>
      </c>
      <c r="AE758" s="29">
        <v>0</v>
      </c>
      <c r="AF758" s="29">
        <v>0</v>
      </c>
      <c r="AG758" s="29">
        <v>0</v>
      </c>
      <c r="AH758" s="2" t="e">
        <v>#N/A</v>
      </c>
      <c r="AI758" s="2" t="e">
        <v>#N/A</v>
      </c>
      <c r="AJ758" s="2" t="s">
        <v>5</v>
      </c>
      <c r="AK758" s="2" t="s">
        <v>5</v>
      </c>
    </row>
    <row r="759" spans="3:37" ht="12.5">
      <c r="C759" s="2" t="str">
        <f ca="1"/>
        <v/>
      </c>
      <c r="D759" s="2" t="str">
        <v/>
      </c>
      <c r="E759" s="29" t="str">
        <v/>
      </c>
      <c r="F759" s="30" t="str">
        <v/>
      </c>
      <c r="G759" s="29" t="str">
        <v/>
      </c>
      <c r="H759" s="30" t="str">
        <v/>
      </c>
      <c r="I759" s="29" t="str">
        <v/>
      </c>
      <c r="J759" s="29" t="str">
        <v/>
      </c>
      <c r="K759" s="29" t="str">
        <v/>
      </c>
      <c r="L759" s="29" t="str">
        <v/>
      </c>
      <c r="M759" s="29" t="str">
        <v/>
      </c>
      <c r="N759" s="29" t="str">
        <v/>
      </c>
      <c r="O759" s="2" t="str">
        <f ca="1"/>
        <v/>
      </c>
      <c r="P759" s="2" t="str">
        <f ca="1"/>
        <v/>
      </c>
      <c r="Q759" s="2" t="s">
        <v>5</v>
      </c>
      <c r="R759" s="2" t="s">
        <v>5</v>
      </c>
      <c r="U759" s="2" t="s">
        <v>287</v>
      </c>
      <c r="V759" s="2" t="e">
        <v>#N/A</v>
      </c>
      <c r="W759" s="2">
        <v>0</v>
      </c>
      <c r="X759" s="29">
        <v>0</v>
      </c>
      <c r="Y759" s="30">
        <v>0</v>
      </c>
      <c r="Z759" s="29">
        <v>0</v>
      </c>
      <c r="AA759" s="30">
        <v>0</v>
      </c>
      <c r="AB759" s="29">
        <v>2000</v>
      </c>
      <c r="AC759" s="29">
        <v>1</v>
      </c>
      <c r="AD759" s="29">
        <v>0</v>
      </c>
      <c r="AE759" s="29">
        <v>0</v>
      </c>
      <c r="AF759" s="29">
        <v>0</v>
      </c>
      <c r="AG759" s="29">
        <v>0</v>
      </c>
      <c r="AH759" s="2" t="e">
        <v>#N/A</v>
      </c>
      <c r="AI759" s="2" t="e">
        <v>#N/A</v>
      </c>
      <c r="AJ759" s="2" t="s">
        <v>5</v>
      </c>
      <c r="AK759" s="2" t="s">
        <v>5</v>
      </c>
    </row>
    <row r="760" spans="3:37" ht="12.5">
      <c r="C760" s="2" t="str">
        <f ca="1"/>
        <v/>
      </c>
      <c r="D760" s="2" t="str">
        <v/>
      </c>
      <c r="E760" s="29" t="str">
        <v/>
      </c>
      <c r="F760" s="30" t="str">
        <v/>
      </c>
      <c r="G760" s="29" t="str">
        <v/>
      </c>
      <c r="H760" s="30" t="str">
        <v/>
      </c>
      <c r="I760" s="29" t="str">
        <v/>
      </c>
      <c r="J760" s="29" t="str">
        <v/>
      </c>
      <c r="K760" s="29" t="str">
        <v/>
      </c>
      <c r="L760" s="29" t="str">
        <v/>
      </c>
      <c r="M760" s="29" t="str">
        <v/>
      </c>
      <c r="N760" s="29" t="str">
        <v/>
      </c>
      <c r="O760" s="2" t="str">
        <f ca="1"/>
        <v/>
      </c>
      <c r="P760" s="2" t="str">
        <f ca="1"/>
        <v/>
      </c>
      <c r="Q760" s="2" t="s">
        <v>5</v>
      </c>
      <c r="R760" s="2" t="s">
        <v>5</v>
      </c>
      <c r="U760" s="2" t="s">
        <v>290</v>
      </c>
      <c r="V760" s="2" t="e">
        <v>#N/A</v>
      </c>
      <c r="W760" s="2">
        <v>0</v>
      </c>
      <c r="X760" s="29">
        <v>0</v>
      </c>
      <c r="Y760" s="30">
        <v>0</v>
      </c>
      <c r="Z760" s="29">
        <v>0</v>
      </c>
      <c r="AA760" s="30">
        <v>0</v>
      </c>
      <c r="AB760" s="29">
        <v>2000</v>
      </c>
      <c r="AC760" s="29">
        <v>1</v>
      </c>
      <c r="AD760" s="29">
        <v>2000</v>
      </c>
      <c r="AE760" s="29">
        <v>1</v>
      </c>
      <c r="AF760" s="29">
        <v>0</v>
      </c>
      <c r="AG760" s="29">
        <v>0</v>
      </c>
      <c r="AH760" s="2" t="e">
        <v>#N/A</v>
      </c>
      <c r="AI760" s="2" t="e">
        <v>#N/A</v>
      </c>
      <c r="AJ760" s="2" t="s">
        <v>5</v>
      </c>
      <c r="AK760" s="2" t="s">
        <v>5</v>
      </c>
    </row>
    <row r="761" spans="3:37" ht="12.5">
      <c r="C761" s="2" t="str">
        <f ca="1"/>
        <v/>
      </c>
      <c r="D761" s="2" t="str">
        <v/>
      </c>
      <c r="E761" s="29" t="str">
        <v/>
      </c>
      <c r="F761" s="30" t="str">
        <v/>
      </c>
      <c r="G761" s="29" t="str">
        <v/>
      </c>
      <c r="H761" s="30" t="str">
        <v/>
      </c>
      <c r="I761" s="29" t="str">
        <v/>
      </c>
      <c r="J761" s="29" t="str">
        <v/>
      </c>
      <c r="K761" s="29" t="str">
        <v/>
      </c>
      <c r="L761" s="29" t="str">
        <v/>
      </c>
      <c r="M761" s="29" t="str">
        <v/>
      </c>
      <c r="N761" s="29" t="str">
        <v/>
      </c>
      <c r="O761" s="2" t="str">
        <f ca="1"/>
        <v/>
      </c>
      <c r="P761" s="2" t="str">
        <f ca="1"/>
        <v/>
      </c>
      <c r="Q761" s="2" t="s">
        <v>5</v>
      </c>
      <c r="R761" s="2" t="s">
        <v>5</v>
      </c>
      <c r="U761" s="2" t="s">
        <v>293</v>
      </c>
      <c r="V761" s="2" t="e">
        <v>#N/A</v>
      </c>
      <c r="W761" s="2">
        <v>0</v>
      </c>
      <c r="X761" s="29">
        <v>0</v>
      </c>
      <c r="Y761" s="30">
        <v>0</v>
      </c>
      <c r="Z761" s="29">
        <v>0</v>
      </c>
      <c r="AA761" s="30">
        <v>0</v>
      </c>
      <c r="AB761" s="29">
        <v>2000</v>
      </c>
      <c r="AC761" s="29">
        <v>1</v>
      </c>
      <c r="AD761" s="29">
        <v>0</v>
      </c>
      <c r="AE761" s="29">
        <v>0</v>
      </c>
      <c r="AF761" s="29">
        <v>0</v>
      </c>
      <c r="AG761" s="29">
        <v>0</v>
      </c>
      <c r="AH761" s="2" t="e">
        <v>#N/A</v>
      </c>
      <c r="AI761" s="2" t="e">
        <v>#N/A</v>
      </c>
      <c r="AJ761" s="2" t="s">
        <v>5</v>
      </c>
      <c r="AK761" s="2" t="s">
        <v>5</v>
      </c>
    </row>
    <row r="762" spans="3:37" ht="12.5">
      <c r="C762" s="2" t="str">
        <f ca="1"/>
        <v/>
      </c>
      <c r="D762" s="2" t="str">
        <v/>
      </c>
      <c r="E762" s="29" t="str">
        <v/>
      </c>
      <c r="F762" s="30" t="str">
        <v/>
      </c>
      <c r="G762" s="29" t="str">
        <v/>
      </c>
      <c r="H762" s="30" t="str">
        <v/>
      </c>
      <c r="I762" s="29" t="str">
        <v/>
      </c>
      <c r="J762" s="29" t="str">
        <v/>
      </c>
      <c r="K762" s="29" t="str">
        <v/>
      </c>
      <c r="L762" s="29" t="str">
        <v/>
      </c>
      <c r="M762" s="29" t="str">
        <v/>
      </c>
      <c r="N762" s="29" t="str">
        <v/>
      </c>
      <c r="O762" s="2" t="str">
        <f ca="1"/>
        <v/>
      </c>
      <c r="P762" s="2" t="str">
        <f ca="1"/>
        <v/>
      </c>
      <c r="Q762" s="2" t="s">
        <v>5</v>
      </c>
      <c r="R762" s="2" t="s">
        <v>5</v>
      </c>
      <c r="U762" s="2" t="s">
        <v>294</v>
      </c>
      <c r="V762" s="2" t="e">
        <v>#N/A</v>
      </c>
      <c r="W762" s="2">
        <v>0</v>
      </c>
      <c r="X762" s="29">
        <v>0</v>
      </c>
      <c r="Y762" s="30">
        <v>0</v>
      </c>
      <c r="Z762" s="29">
        <v>0</v>
      </c>
      <c r="AA762" s="30">
        <v>0</v>
      </c>
      <c r="AB762" s="29">
        <v>2000</v>
      </c>
      <c r="AC762" s="29">
        <v>1</v>
      </c>
      <c r="AD762" s="29">
        <v>0</v>
      </c>
      <c r="AE762" s="29">
        <v>0</v>
      </c>
      <c r="AF762" s="29">
        <v>0</v>
      </c>
      <c r="AG762" s="29">
        <v>0</v>
      </c>
      <c r="AH762" s="2" t="e">
        <v>#N/A</v>
      </c>
      <c r="AI762" s="2" t="e">
        <v>#N/A</v>
      </c>
      <c r="AJ762" s="2" t="s">
        <v>5</v>
      </c>
      <c r="AK762" s="2" t="s">
        <v>5</v>
      </c>
    </row>
    <row r="763" spans="3:37" ht="12.5">
      <c r="C763" s="2" t="str">
        <f ca="1"/>
        <v/>
      </c>
      <c r="D763" s="2" t="str">
        <v/>
      </c>
      <c r="E763" s="29" t="str">
        <v/>
      </c>
      <c r="F763" s="30" t="str">
        <v/>
      </c>
      <c r="G763" s="29" t="str">
        <v/>
      </c>
      <c r="H763" s="30" t="str">
        <v/>
      </c>
      <c r="I763" s="29" t="str">
        <v/>
      </c>
      <c r="J763" s="29" t="str">
        <v/>
      </c>
      <c r="K763" s="29" t="str">
        <v/>
      </c>
      <c r="L763" s="29" t="str">
        <v/>
      </c>
      <c r="M763" s="29" t="str">
        <v/>
      </c>
      <c r="N763" s="29" t="str">
        <v/>
      </c>
      <c r="O763" s="2" t="str">
        <f ca="1"/>
        <v/>
      </c>
      <c r="P763" s="2" t="str">
        <f ca="1"/>
        <v/>
      </c>
      <c r="Q763" s="2" t="s">
        <v>5</v>
      </c>
      <c r="R763" s="2" t="s">
        <v>5</v>
      </c>
      <c r="U763" s="2" t="s">
        <v>295</v>
      </c>
      <c r="V763" s="2" t="e">
        <v>#N/A</v>
      </c>
      <c r="W763" s="2">
        <v>0</v>
      </c>
      <c r="X763" s="29">
        <v>0</v>
      </c>
      <c r="Y763" s="30">
        <v>0</v>
      </c>
      <c r="Z763" s="29">
        <v>0</v>
      </c>
      <c r="AA763" s="30">
        <v>0</v>
      </c>
      <c r="AB763" s="29">
        <v>2000</v>
      </c>
      <c r="AC763" s="29">
        <v>1</v>
      </c>
      <c r="AD763" s="29">
        <v>0</v>
      </c>
      <c r="AE763" s="29">
        <v>0</v>
      </c>
      <c r="AF763" s="29">
        <v>0</v>
      </c>
      <c r="AG763" s="29">
        <v>0</v>
      </c>
      <c r="AH763" s="2" t="e">
        <v>#N/A</v>
      </c>
      <c r="AI763" s="2" t="e">
        <v>#N/A</v>
      </c>
      <c r="AJ763" s="2" t="s">
        <v>5</v>
      </c>
      <c r="AK763" s="2" t="s">
        <v>5</v>
      </c>
    </row>
    <row r="764" spans="3:37" ht="12.5">
      <c r="C764" s="2" t="str">
        <f ca="1"/>
        <v/>
      </c>
      <c r="D764" s="2" t="str">
        <v/>
      </c>
      <c r="E764" s="29" t="str">
        <v/>
      </c>
      <c r="F764" s="30" t="str">
        <v/>
      </c>
      <c r="G764" s="29" t="str">
        <v/>
      </c>
      <c r="H764" s="30" t="str">
        <v/>
      </c>
      <c r="I764" s="29" t="str">
        <v/>
      </c>
      <c r="J764" s="29" t="str">
        <v/>
      </c>
      <c r="K764" s="29" t="str">
        <v/>
      </c>
      <c r="L764" s="29" t="str">
        <v/>
      </c>
      <c r="M764" s="29" t="str">
        <v/>
      </c>
      <c r="N764" s="29" t="str">
        <v/>
      </c>
      <c r="O764" s="2" t="str">
        <f ca="1"/>
        <v/>
      </c>
      <c r="P764" s="2" t="str">
        <f ca="1"/>
        <v/>
      </c>
      <c r="Q764" s="2" t="s">
        <v>5</v>
      </c>
      <c r="R764" s="2" t="s">
        <v>5</v>
      </c>
      <c r="U764" s="2" t="s">
        <v>296</v>
      </c>
      <c r="V764" s="2" t="e">
        <v>#N/A</v>
      </c>
      <c r="W764" s="2">
        <v>0</v>
      </c>
      <c r="X764" s="29">
        <v>0</v>
      </c>
      <c r="Y764" s="30">
        <v>0</v>
      </c>
      <c r="Z764" s="29">
        <v>0</v>
      </c>
      <c r="AA764" s="30">
        <v>0</v>
      </c>
      <c r="AB764" s="29">
        <v>2000</v>
      </c>
      <c r="AC764" s="29">
        <v>1</v>
      </c>
      <c r="AD764" s="29">
        <v>4000</v>
      </c>
      <c r="AE764" s="29">
        <v>2</v>
      </c>
      <c r="AF764" s="29">
        <v>0</v>
      </c>
      <c r="AG764" s="29">
        <v>0</v>
      </c>
      <c r="AH764" s="2" t="e">
        <v>#N/A</v>
      </c>
      <c r="AI764" s="2" t="e">
        <v>#N/A</v>
      </c>
      <c r="AJ764" s="2" t="s">
        <v>5</v>
      </c>
      <c r="AK764" s="2" t="s">
        <v>5</v>
      </c>
    </row>
    <row r="765" spans="3:37" ht="12.5">
      <c r="C765" s="2" t="str">
        <f ca="1"/>
        <v/>
      </c>
      <c r="D765" s="2" t="str">
        <v/>
      </c>
      <c r="E765" s="29" t="str">
        <v/>
      </c>
      <c r="F765" s="30" t="str">
        <v/>
      </c>
      <c r="G765" s="29" t="str">
        <v/>
      </c>
      <c r="H765" s="30" t="str">
        <v/>
      </c>
      <c r="I765" s="29" t="str">
        <v/>
      </c>
      <c r="J765" s="29" t="str">
        <v/>
      </c>
      <c r="K765" s="29" t="str">
        <v/>
      </c>
      <c r="L765" s="29" t="str">
        <v/>
      </c>
      <c r="M765" s="29" t="str">
        <v/>
      </c>
      <c r="N765" s="29" t="str">
        <v/>
      </c>
      <c r="O765" s="2" t="str">
        <f ca="1"/>
        <v/>
      </c>
      <c r="P765" s="2" t="str">
        <f ca="1"/>
        <v/>
      </c>
      <c r="Q765" s="2" t="s">
        <v>5</v>
      </c>
      <c r="R765" s="2" t="s">
        <v>5</v>
      </c>
      <c r="U765" s="2" t="s">
        <v>301</v>
      </c>
      <c r="V765" s="2" t="e">
        <v>#N/A</v>
      </c>
      <c r="W765" s="2">
        <v>0</v>
      </c>
      <c r="X765" s="29">
        <v>0</v>
      </c>
      <c r="Y765" s="30">
        <v>0</v>
      </c>
      <c r="Z765" s="29">
        <v>0</v>
      </c>
      <c r="AA765" s="30">
        <v>0</v>
      </c>
      <c r="AB765" s="29">
        <v>4000</v>
      </c>
      <c r="AC765" s="29">
        <v>2</v>
      </c>
      <c r="AD765" s="29">
        <v>0</v>
      </c>
      <c r="AE765" s="29">
        <v>0</v>
      </c>
      <c r="AF765" s="29">
        <v>0</v>
      </c>
      <c r="AG765" s="29">
        <v>0</v>
      </c>
      <c r="AH765" s="2" t="e">
        <v>#N/A</v>
      </c>
      <c r="AI765" s="2" t="e">
        <v>#N/A</v>
      </c>
      <c r="AJ765" s="2" t="s">
        <v>5</v>
      </c>
      <c r="AK765" s="2" t="s">
        <v>5</v>
      </c>
    </row>
    <row r="766" spans="3:37" ht="12.5">
      <c r="C766" s="2" t="str">
        <f ca="1"/>
        <v/>
      </c>
      <c r="D766" s="2" t="str">
        <v/>
      </c>
      <c r="E766" s="29" t="str">
        <v/>
      </c>
      <c r="F766" s="30" t="str">
        <v/>
      </c>
      <c r="G766" s="29" t="str">
        <v/>
      </c>
      <c r="H766" s="30" t="str">
        <v/>
      </c>
      <c r="I766" s="29" t="str">
        <v/>
      </c>
      <c r="J766" s="29" t="str">
        <v/>
      </c>
      <c r="K766" s="29" t="str">
        <v/>
      </c>
      <c r="L766" s="29" t="str">
        <v/>
      </c>
      <c r="M766" s="29" t="str">
        <v/>
      </c>
      <c r="N766" s="29" t="str">
        <v/>
      </c>
      <c r="O766" s="2" t="str">
        <f ca="1"/>
        <v/>
      </c>
      <c r="P766" s="2" t="str">
        <f ca="1"/>
        <v/>
      </c>
      <c r="Q766" s="2" t="s">
        <v>5</v>
      </c>
      <c r="R766" s="2" t="s">
        <v>5</v>
      </c>
      <c r="U766" s="2" t="s">
        <v>304</v>
      </c>
      <c r="V766" s="2" t="e">
        <v>#N/A</v>
      </c>
      <c r="W766" s="2">
        <v>0</v>
      </c>
      <c r="X766" s="29">
        <v>0</v>
      </c>
      <c r="Y766" s="30">
        <v>0</v>
      </c>
      <c r="Z766" s="29">
        <v>0</v>
      </c>
      <c r="AA766" s="30">
        <v>0</v>
      </c>
      <c r="AB766" s="29">
        <v>2000</v>
      </c>
      <c r="AC766" s="29">
        <v>1</v>
      </c>
      <c r="AD766" s="29">
        <v>0</v>
      </c>
      <c r="AE766" s="29">
        <v>0</v>
      </c>
      <c r="AF766" s="29">
        <v>0</v>
      </c>
      <c r="AG766" s="29">
        <v>0</v>
      </c>
      <c r="AH766" s="2" t="e">
        <v>#N/A</v>
      </c>
      <c r="AI766" s="2" t="e">
        <v>#N/A</v>
      </c>
      <c r="AJ766" s="2" t="s">
        <v>5</v>
      </c>
      <c r="AK766" s="2" t="s">
        <v>5</v>
      </c>
    </row>
    <row r="767" spans="3:37" ht="12.5">
      <c r="C767" s="2" t="str">
        <f ca="1"/>
        <v/>
      </c>
      <c r="D767" s="2" t="str">
        <v/>
      </c>
      <c r="E767" s="29" t="str">
        <v/>
      </c>
      <c r="F767" s="30" t="str">
        <v/>
      </c>
      <c r="G767" s="29" t="str">
        <v/>
      </c>
      <c r="H767" s="30" t="str">
        <v/>
      </c>
      <c r="I767" s="29" t="str">
        <v/>
      </c>
      <c r="J767" s="29" t="str">
        <v/>
      </c>
      <c r="K767" s="29" t="str">
        <v/>
      </c>
      <c r="L767" s="29" t="str">
        <v/>
      </c>
      <c r="M767" s="29" t="str">
        <v/>
      </c>
      <c r="N767" s="29" t="str">
        <v/>
      </c>
      <c r="O767" s="2" t="str">
        <f ca="1"/>
        <v/>
      </c>
      <c r="P767" s="2" t="str">
        <f ca="1"/>
        <v/>
      </c>
      <c r="Q767" s="2" t="s">
        <v>5</v>
      </c>
      <c r="R767" s="2" t="s">
        <v>5</v>
      </c>
      <c r="U767" s="2" t="s">
        <v>309</v>
      </c>
      <c r="V767" s="2" t="e">
        <v>#N/A</v>
      </c>
      <c r="W767" s="2">
        <v>0</v>
      </c>
      <c r="X767" s="29">
        <v>0</v>
      </c>
      <c r="Y767" s="30">
        <v>0</v>
      </c>
      <c r="Z767" s="29">
        <v>0</v>
      </c>
      <c r="AA767" s="30">
        <v>0</v>
      </c>
      <c r="AB767" s="29">
        <v>2000</v>
      </c>
      <c r="AC767" s="29">
        <v>1</v>
      </c>
      <c r="AD767" s="29">
        <v>6000</v>
      </c>
      <c r="AE767" s="29">
        <v>3</v>
      </c>
      <c r="AF767" s="29">
        <v>0</v>
      </c>
      <c r="AG767" s="29">
        <v>0</v>
      </c>
      <c r="AH767" s="2" t="e">
        <v>#N/A</v>
      </c>
      <c r="AI767" s="2" t="e">
        <v>#N/A</v>
      </c>
      <c r="AJ767" s="2" t="s">
        <v>5</v>
      </c>
      <c r="AK767" s="2" t="s">
        <v>5</v>
      </c>
    </row>
    <row r="768" spans="3:37" ht="12.5">
      <c r="C768" s="2" t="str">
        <f ca="1"/>
        <v/>
      </c>
      <c r="D768" s="2" t="str">
        <v/>
      </c>
      <c r="E768" s="29" t="str">
        <v/>
      </c>
      <c r="F768" s="30" t="str">
        <v/>
      </c>
      <c r="G768" s="29" t="str">
        <v/>
      </c>
      <c r="H768" s="30" t="str">
        <v/>
      </c>
      <c r="I768" s="29" t="str">
        <v/>
      </c>
      <c r="J768" s="29" t="str">
        <v/>
      </c>
      <c r="K768" s="29" t="str">
        <v/>
      </c>
      <c r="L768" s="29" t="str">
        <v/>
      </c>
      <c r="M768" s="29" t="str">
        <v/>
      </c>
      <c r="N768" s="29" t="str">
        <v/>
      </c>
      <c r="O768" s="2" t="str">
        <f ca="1"/>
        <v/>
      </c>
      <c r="P768" s="2" t="str">
        <f ca="1"/>
        <v/>
      </c>
      <c r="Q768" s="2" t="s">
        <v>5</v>
      </c>
      <c r="R768" s="2" t="s">
        <v>5</v>
      </c>
      <c r="U768" s="2" t="s">
        <v>311</v>
      </c>
      <c r="V768" s="2" t="e">
        <v>#N/A</v>
      </c>
      <c r="W768" s="2">
        <v>0</v>
      </c>
      <c r="X768" s="29">
        <v>0</v>
      </c>
      <c r="Y768" s="30">
        <v>0</v>
      </c>
      <c r="Z768" s="29">
        <v>0</v>
      </c>
      <c r="AA768" s="30">
        <v>0</v>
      </c>
      <c r="AB768" s="29">
        <v>2000</v>
      </c>
      <c r="AC768" s="29">
        <v>1</v>
      </c>
      <c r="AD768" s="29">
        <v>0</v>
      </c>
      <c r="AE768" s="29">
        <v>0</v>
      </c>
      <c r="AF768" s="29">
        <v>0</v>
      </c>
      <c r="AG768" s="29">
        <v>0</v>
      </c>
      <c r="AH768" s="2" t="e">
        <v>#N/A</v>
      </c>
      <c r="AI768" s="2" t="e">
        <v>#N/A</v>
      </c>
      <c r="AJ768" s="2" t="s">
        <v>5</v>
      </c>
      <c r="AK768" s="2" t="s">
        <v>5</v>
      </c>
    </row>
    <row r="769" spans="3:37" ht="12.5">
      <c r="C769" s="2" t="str">
        <f ca="1"/>
        <v/>
      </c>
      <c r="D769" s="2" t="str">
        <v/>
      </c>
      <c r="E769" s="29" t="str">
        <v/>
      </c>
      <c r="F769" s="30" t="str">
        <v/>
      </c>
      <c r="G769" s="29" t="str">
        <v/>
      </c>
      <c r="H769" s="30" t="str">
        <v/>
      </c>
      <c r="I769" s="29" t="str">
        <v/>
      </c>
      <c r="J769" s="29" t="str">
        <v/>
      </c>
      <c r="K769" s="29" t="str">
        <v/>
      </c>
      <c r="L769" s="29" t="str">
        <v/>
      </c>
      <c r="M769" s="29" t="str">
        <v/>
      </c>
      <c r="N769" s="29" t="str">
        <v/>
      </c>
      <c r="O769" s="2" t="str">
        <f ca="1"/>
        <v/>
      </c>
      <c r="P769" s="2" t="str">
        <f ca="1"/>
        <v/>
      </c>
      <c r="Q769" s="2" t="s">
        <v>5</v>
      </c>
      <c r="R769" s="2" t="s">
        <v>5</v>
      </c>
      <c r="U769" s="2" t="s">
        <v>527</v>
      </c>
      <c r="V769" s="2" t="e">
        <v>#N/A</v>
      </c>
      <c r="W769" s="2">
        <v>0</v>
      </c>
      <c r="X769" s="29">
        <v>0</v>
      </c>
      <c r="Y769" s="30">
        <v>0</v>
      </c>
      <c r="Z769" s="29">
        <v>0</v>
      </c>
      <c r="AA769" s="30">
        <v>0</v>
      </c>
      <c r="AB769" s="29">
        <v>0</v>
      </c>
      <c r="AC769" s="29">
        <v>0</v>
      </c>
      <c r="AD769" s="29">
        <v>6000</v>
      </c>
      <c r="AE769" s="29">
        <v>3</v>
      </c>
      <c r="AF769" s="29">
        <v>0</v>
      </c>
      <c r="AG769" s="29">
        <v>0</v>
      </c>
      <c r="AH769" s="2" t="e">
        <v>#N/A</v>
      </c>
      <c r="AI769" s="2" t="e">
        <v>#N/A</v>
      </c>
      <c r="AJ769" s="2" t="s">
        <v>5</v>
      </c>
      <c r="AK769" s="2" t="s">
        <v>5</v>
      </c>
    </row>
    <row r="770" spans="3:37" ht="12.5">
      <c r="C770" s="2" t="str">
        <f ca="1"/>
        <v/>
      </c>
      <c r="D770" s="2" t="str">
        <v/>
      </c>
      <c r="E770" s="29" t="str">
        <v/>
      </c>
      <c r="F770" s="30" t="str">
        <v/>
      </c>
      <c r="G770" s="29" t="str">
        <v/>
      </c>
      <c r="H770" s="30" t="str">
        <v/>
      </c>
      <c r="I770" s="29" t="str">
        <v/>
      </c>
      <c r="J770" s="29" t="str">
        <v/>
      </c>
      <c r="K770" s="29" t="str">
        <v/>
      </c>
      <c r="L770" s="29" t="str">
        <v/>
      </c>
      <c r="M770" s="29" t="str">
        <v/>
      </c>
      <c r="N770" s="29" t="str">
        <v/>
      </c>
      <c r="O770" s="2" t="str">
        <f ca="1"/>
        <v/>
      </c>
      <c r="P770" s="2" t="str">
        <f ca="1"/>
        <v/>
      </c>
      <c r="Q770" s="2" t="s">
        <v>5</v>
      </c>
      <c r="R770" s="2" t="s">
        <v>5</v>
      </c>
      <c r="U770" s="2" t="s">
        <v>528</v>
      </c>
      <c r="V770" s="2" t="e">
        <v>#N/A</v>
      </c>
      <c r="W770" s="2">
        <v>0</v>
      </c>
      <c r="X770" s="29">
        <v>0</v>
      </c>
      <c r="Y770" s="30">
        <v>0</v>
      </c>
      <c r="Z770" s="29">
        <v>0</v>
      </c>
      <c r="AA770" s="30">
        <v>0</v>
      </c>
      <c r="AB770" s="29">
        <v>0</v>
      </c>
      <c r="AC770" s="29">
        <v>0</v>
      </c>
      <c r="AD770" s="29">
        <v>6000</v>
      </c>
      <c r="AE770" s="29">
        <v>3</v>
      </c>
      <c r="AF770" s="29">
        <v>0</v>
      </c>
      <c r="AG770" s="29">
        <v>0</v>
      </c>
      <c r="AH770" s="2" t="e">
        <v>#N/A</v>
      </c>
      <c r="AI770" s="2" t="e">
        <v>#N/A</v>
      </c>
      <c r="AJ770" s="2" t="s">
        <v>5</v>
      </c>
      <c r="AK770" s="2" t="s">
        <v>5</v>
      </c>
    </row>
    <row r="771" spans="3:37" ht="12.5">
      <c r="C771" s="2" t="str">
        <f ca="1"/>
        <v/>
      </c>
      <c r="D771" s="2" t="str">
        <v/>
      </c>
      <c r="E771" s="29" t="str">
        <v/>
      </c>
      <c r="F771" s="30" t="str">
        <v/>
      </c>
      <c r="G771" s="29" t="str">
        <v/>
      </c>
      <c r="H771" s="30" t="str">
        <v/>
      </c>
      <c r="I771" s="29" t="str">
        <v/>
      </c>
      <c r="J771" s="29" t="str">
        <v/>
      </c>
      <c r="K771" s="29" t="str">
        <v/>
      </c>
      <c r="L771" s="29" t="str">
        <v/>
      </c>
      <c r="M771" s="29" t="str">
        <v/>
      </c>
      <c r="N771" s="29" t="str">
        <v/>
      </c>
      <c r="O771" s="2" t="str">
        <f ca="1"/>
        <v/>
      </c>
      <c r="P771" s="2" t="str">
        <f ca="1"/>
        <v/>
      </c>
      <c r="Q771" s="2" t="s">
        <v>5</v>
      </c>
      <c r="R771" s="2" t="s">
        <v>5</v>
      </c>
      <c r="U771" s="2" t="s">
        <v>538</v>
      </c>
      <c r="V771" s="2" t="e">
        <v>#N/A</v>
      </c>
      <c r="W771" s="2">
        <v>0</v>
      </c>
      <c r="X771" s="29">
        <v>0</v>
      </c>
      <c r="Y771" s="30">
        <v>0</v>
      </c>
      <c r="Z771" s="29">
        <v>0</v>
      </c>
      <c r="AA771" s="30">
        <v>0</v>
      </c>
      <c r="AB771" s="29">
        <v>0</v>
      </c>
      <c r="AC771" s="29">
        <v>0</v>
      </c>
      <c r="AD771" s="29">
        <v>2000</v>
      </c>
      <c r="AE771" s="29">
        <v>1</v>
      </c>
      <c r="AF771" s="29">
        <v>0</v>
      </c>
      <c r="AG771" s="29">
        <v>0</v>
      </c>
      <c r="AH771" s="2" t="e">
        <v>#N/A</v>
      </c>
      <c r="AI771" s="2" t="e">
        <v>#N/A</v>
      </c>
      <c r="AJ771" s="2" t="s">
        <v>5</v>
      </c>
      <c r="AK771" s="2" t="s">
        <v>5</v>
      </c>
    </row>
    <row r="772" spans="3:37" ht="12.5">
      <c r="C772" s="2" t="str">
        <f ca="1"/>
        <v/>
      </c>
      <c r="D772" s="2" t="str">
        <v/>
      </c>
      <c r="E772" s="29" t="str">
        <v/>
      </c>
      <c r="F772" s="30" t="str">
        <v/>
      </c>
      <c r="G772" s="29" t="str">
        <v/>
      </c>
      <c r="H772" s="30" t="str">
        <v/>
      </c>
      <c r="I772" s="29" t="str">
        <v/>
      </c>
      <c r="J772" s="29" t="str">
        <v/>
      </c>
      <c r="K772" s="29" t="str">
        <v/>
      </c>
      <c r="L772" s="29" t="str">
        <v/>
      </c>
      <c r="M772" s="29" t="str">
        <v/>
      </c>
      <c r="N772" s="29" t="str">
        <v/>
      </c>
      <c r="O772" s="2" t="str">
        <f ca="1"/>
        <v/>
      </c>
      <c r="P772" s="2" t="str">
        <f ca="1"/>
        <v/>
      </c>
      <c r="Q772" s="2" t="s">
        <v>5</v>
      </c>
      <c r="R772" s="2" t="s">
        <v>5</v>
      </c>
      <c r="U772" s="2" t="s">
        <v>543</v>
      </c>
      <c r="V772" s="2" t="e">
        <v>#N/A</v>
      </c>
      <c r="W772" s="2">
        <v>0</v>
      </c>
      <c r="X772" s="29">
        <v>0</v>
      </c>
      <c r="Y772" s="30">
        <v>0</v>
      </c>
      <c r="Z772" s="29">
        <v>0</v>
      </c>
      <c r="AA772" s="30">
        <v>0</v>
      </c>
      <c r="AB772" s="29">
        <v>0</v>
      </c>
      <c r="AC772" s="29">
        <v>0</v>
      </c>
      <c r="AD772" s="29">
        <v>2000</v>
      </c>
      <c r="AE772" s="29">
        <v>1</v>
      </c>
      <c r="AF772" s="29">
        <v>0</v>
      </c>
      <c r="AG772" s="29">
        <v>0</v>
      </c>
      <c r="AH772" s="2" t="e">
        <v>#N/A</v>
      </c>
      <c r="AI772" s="2" t="e">
        <v>#N/A</v>
      </c>
      <c r="AJ772" s="2" t="s">
        <v>5</v>
      </c>
      <c r="AK772" s="2" t="s">
        <v>5</v>
      </c>
    </row>
    <row r="773" spans="3:37" ht="12.5">
      <c r="C773" s="2" t="str">
        <f ca="1"/>
        <v/>
      </c>
      <c r="D773" s="2" t="str">
        <v/>
      </c>
      <c r="E773" s="29" t="str">
        <v/>
      </c>
      <c r="F773" s="30" t="str">
        <v/>
      </c>
      <c r="G773" s="29" t="str">
        <v/>
      </c>
      <c r="H773" s="30" t="str">
        <v/>
      </c>
      <c r="I773" s="29" t="str">
        <v/>
      </c>
      <c r="J773" s="29" t="str">
        <v/>
      </c>
      <c r="K773" s="29" t="str">
        <v/>
      </c>
      <c r="L773" s="29" t="str">
        <v/>
      </c>
      <c r="M773" s="29" t="str">
        <v/>
      </c>
      <c r="N773" s="29" t="str">
        <v/>
      </c>
      <c r="O773" s="2" t="str">
        <f ca="1"/>
        <v/>
      </c>
      <c r="P773" s="2" t="str">
        <f ca="1"/>
        <v/>
      </c>
      <c r="Q773" s="2" t="s">
        <v>5</v>
      </c>
      <c r="R773" s="2" t="s">
        <v>5</v>
      </c>
      <c r="U773" s="2" t="s">
        <v>544</v>
      </c>
      <c r="V773" s="2" t="e">
        <v>#N/A</v>
      </c>
      <c r="W773" s="2">
        <v>0</v>
      </c>
      <c r="X773" s="29">
        <v>0</v>
      </c>
      <c r="Y773" s="30">
        <v>0</v>
      </c>
      <c r="Z773" s="29">
        <v>0</v>
      </c>
      <c r="AA773" s="30">
        <v>0</v>
      </c>
      <c r="AB773" s="29">
        <v>0</v>
      </c>
      <c r="AC773" s="29">
        <v>0</v>
      </c>
      <c r="AD773" s="29">
        <v>2000</v>
      </c>
      <c r="AE773" s="29">
        <v>1</v>
      </c>
      <c r="AF773" s="29">
        <v>0</v>
      </c>
      <c r="AG773" s="29">
        <v>0</v>
      </c>
      <c r="AH773" s="2" t="e">
        <v>#N/A</v>
      </c>
      <c r="AI773" s="2" t="e">
        <v>#N/A</v>
      </c>
      <c r="AJ773" s="2" t="s">
        <v>5</v>
      </c>
      <c r="AK773" s="2" t="s">
        <v>5</v>
      </c>
    </row>
    <row r="774" spans="3:37" ht="12.5">
      <c r="C774" s="2" t="str">
        <f ca="1"/>
        <v/>
      </c>
      <c r="D774" s="2" t="str">
        <v/>
      </c>
      <c r="E774" s="29" t="str">
        <v/>
      </c>
      <c r="F774" s="30" t="str">
        <v/>
      </c>
      <c r="G774" s="29" t="str">
        <v/>
      </c>
      <c r="H774" s="30" t="str">
        <v/>
      </c>
      <c r="I774" s="29" t="str">
        <v/>
      </c>
      <c r="J774" s="29" t="str">
        <v/>
      </c>
      <c r="K774" s="29" t="str">
        <v/>
      </c>
      <c r="L774" s="29" t="str">
        <v/>
      </c>
      <c r="M774" s="29" t="str">
        <v/>
      </c>
      <c r="N774" s="29" t="str">
        <v/>
      </c>
      <c r="O774" s="2" t="str">
        <f ca="1"/>
        <v/>
      </c>
      <c r="P774" s="2" t="str">
        <f ca="1"/>
        <v/>
      </c>
      <c r="Q774" s="2" t="s">
        <v>5</v>
      </c>
      <c r="R774" s="2" t="s">
        <v>5</v>
      </c>
      <c r="U774" s="2" t="s">
        <v>545</v>
      </c>
      <c r="V774" s="2" t="e">
        <v>#N/A</v>
      </c>
      <c r="W774" s="2">
        <v>0</v>
      </c>
      <c r="X774" s="29">
        <v>0</v>
      </c>
      <c r="Y774" s="30">
        <v>0</v>
      </c>
      <c r="Z774" s="29">
        <v>0</v>
      </c>
      <c r="AA774" s="30">
        <v>0</v>
      </c>
      <c r="AB774" s="29">
        <v>0</v>
      </c>
      <c r="AC774" s="29">
        <v>0</v>
      </c>
      <c r="AD774" s="29">
        <v>2000</v>
      </c>
      <c r="AE774" s="29">
        <v>1</v>
      </c>
      <c r="AF774" s="29">
        <v>0</v>
      </c>
      <c r="AG774" s="29">
        <v>0</v>
      </c>
      <c r="AH774" s="2" t="e">
        <v>#N/A</v>
      </c>
      <c r="AI774" s="2" t="e">
        <v>#N/A</v>
      </c>
      <c r="AJ774" s="2" t="s">
        <v>5</v>
      </c>
      <c r="AK774" s="2" t="s">
        <v>5</v>
      </c>
    </row>
    <row r="775" spans="3:37" ht="12.5">
      <c r="C775" s="2" t="str">
        <f ca="1"/>
        <v/>
      </c>
      <c r="D775" s="2" t="str">
        <v/>
      </c>
      <c r="E775" s="29" t="str">
        <v/>
      </c>
      <c r="F775" s="30" t="str">
        <v/>
      </c>
      <c r="G775" s="29" t="str">
        <v/>
      </c>
      <c r="H775" s="30" t="str">
        <v/>
      </c>
      <c r="I775" s="29" t="str">
        <v/>
      </c>
      <c r="J775" s="29" t="str">
        <v/>
      </c>
      <c r="K775" s="29" t="str">
        <v/>
      </c>
      <c r="L775" s="29" t="str">
        <v/>
      </c>
      <c r="M775" s="29" t="str">
        <v/>
      </c>
      <c r="N775" s="29" t="str">
        <v/>
      </c>
      <c r="O775" s="2" t="str">
        <f ca="1"/>
        <v/>
      </c>
      <c r="P775" s="2" t="str">
        <f ca="1"/>
        <v/>
      </c>
      <c r="Q775" s="2" t="s">
        <v>5</v>
      </c>
      <c r="R775" s="2" t="s">
        <v>5</v>
      </c>
      <c r="U775" s="2" t="s">
        <v>549</v>
      </c>
      <c r="V775" s="2" t="e">
        <v>#N/A</v>
      </c>
      <c r="W775" s="2">
        <v>0</v>
      </c>
      <c r="X775" s="29">
        <v>0</v>
      </c>
      <c r="Y775" s="30">
        <v>0</v>
      </c>
      <c r="Z775" s="29">
        <v>0</v>
      </c>
      <c r="AA775" s="30">
        <v>0</v>
      </c>
      <c r="AB775" s="29">
        <v>0</v>
      </c>
      <c r="AC775" s="29">
        <v>0</v>
      </c>
      <c r="AD775" s="29">
        <v>4000</v>
      </c>
      <c r="AE775" s="29">
        <v>2</v>
      </c>
      <c r="AF775" s="29">
        <v>0</v>
      </c>
      <c r="AG775" s="29">
        <v>0</v>
      </c>
      <c r="AH775" s="2" t="e">
        <v>#N/A</v>
      </c>
      <c r="AI775" s="2" t="e">
        <v>#N/A</v>
      </c>
      <c r="AJ775" s="2" t="s">
        <v>5</v>
      </c>
      <c r="AK775" s="2" t="s">
        <v>5</v>
      </c>
    </row>
    <row r="776" spans="3:37" ht="12.5">
      <c r="C776" s="2" t="str">
        <f ca="1"/>
        <v/>
      </c>
      <c r="D776" s="2" t="str">
        <v/>
      </c>
      <c r="E776" s="29" t="str">
        <v/>
      </c>
      <c r="F776" s="30" t="str">
        <v/>
      </c>
      <c r="G776" s="29" t="str">
        <v/>
      </c>
      <c r="H776" s="30" t="str">
        <v/>
      </c>
      <c r="I776" s="29" t="str">
        <v/>
      </c>
      <c r="J776" s="29" t="str">
        <v/>
      </c>
      <c r="K776" s="29" t="str">
        <v/>
      </c>
      <c r="L776" s="29" t="str">
        <v/>
      </c>
      <c r="M776" s="29" t="str">
        <v/>
      </c>
      <c r="N776" s="29" t="str">
        <v/>
      </c>
      <c r="O776" s="2" t="str">
        <f ca="1"/>
        <v/>
      </c>
      <c r="P776" s="2" t="str">
        <f ca="1"/>
        <v/>
      </c>
      <c r="Q776" s="2" t="s">
        <v>5</v>
      </c>
      <c r="R776" s="2" t="s">
        <v>5</v>
      </c>
      <c r="U776" s="2" t="s">
        <v>447</v>
      </c>
      <c r="V776" s="2" t="e">
        <v>#N/A</v>
      </c>
      <c r="W776" s="2">
        <v>0</v>
      </c>
      <c r="X776" s="29">
        <v>0</v>
      </c>
      <c r="Y776" s="30">
        <v>0</v>
      </c>
      <c r="Z776" s="29">
        <v>0</v>
      </c>
      <c r="AA776" s="30">
        <v>0</v>
      </c>
      <c r="AB776" s="29">
        <v>0</v>
      </c>
      <c r="AC776" s="29">
        <v>0</v>
      </c>
      <c r="AD776" s="29">
        <v>6000</v>
      </c>
      <c r="AE776" s="29">
        <v>3</v>
      </c>
      <c r="AF776" s="29">
        <v>0</v>
      </c>
      <c r="AG776" s="29">
        <v>0</v>
      </c>
      <c r="AH776" s="2" t="e">
        <v>#N/A</v>
      </c>
      <c r="AI776" s="2" t="e">
        <v>#N/A</v>
      </c>
      <c r="AJ776" s="2" t="s">
        <v>5</v>
      </c>
      <c r="AK776" s="2" t="s">
        <v>5</v>
      </c>
    </row>
    <row r="777" spans="3:37" ht="12.5">
      <c r="C777" s="2" t="str">
        <f ca="1"/>
        <v/>
      </c>
      <c r="D777" s="2" t="str">
        <v/>
      </c>
      <c r="E777" s="29" t="str">
        <v/>
      </c>
      <c r="F777" s="30" t="str">
        <v/>
      </c>
      <c r="G777" s="29" t="str">
        <v/>
      </c>
      <c r="H777" s="30" t="str">
        <v/>
      </c>
      <c r="I777" s="29" t="str">
        <v/>
      </c>
      <c r="J777" s="29" t="str">
        <v/>
      </c>
      <c r="K777" s="29" t="str">
        <v/>
      </c>
      <c r="L777" s="29" t="str">
        <v/>
      </c>
      <c r="M777" s="29" t="str">
        <v/>
      </c>
      <c r="N777" s="29" t="str">
        <v/>
      </c>
      <c r="O777" s="2" t="str">
        <f ca="1"/>
        <v/>
      </c>
      <c r="P777" s="2" t="str">
        <f ca="1"/>
        <v/>
      </c>
      <c r="Q777" s="2" t="s">
        <v>5</v>
      </c>
      <c r="R777" s="2" t="s">
        <v>5</v>
      </c>
      <c r="U777" s="2" t="s">
        <v>558</v>
      </c>
      <c r="V777" s="2" t="e">
        <v>#N/A</v>
      </c>
      <c r="W777" s="2">
        <v>0</v>
      </c>
      <c r="X777" s="29">
        <v>0</v>
      </c>
      <c r="Y777" s="30">
        <v>0</v>
      </c>
      <c r="Z777" s="29">
        <v>0</v>
      </c>
      <c r="AA777" s="30">
        <v>0</v>
      </c>
      <c r="AB777" s="29">
        <v>0</v>
      </c>
      <c r="AC777" s="29">
        <v>0</v>
      </c>
      <c r="AD777" s="29">
        <v>2000</v>
      </c>
      <c r="AE777" s="29">
        <v>1</v>
      </c>
      <c r="AF777" s="29">
        <v>0</v>
      </c>
      <c r="AG777" s="29">
        <v>0</v>
      </c>
      <c r="AH777" s="2" t="e">
        <v>#N/A</v>
      </c>
      <c r="AI777" s="2" t="e">
        <v>#N/A</v>
      </c>
      <c r="AJ777" s="2" t="s">
        <v>5</v>
      </c>
      <c r="AK777" s="2" t="s">
        <v>5</v>
      </c>
    </row>
    <row r="778" spans="3:37" ht="12.5">
      <c r="C778" s="2" t="str">
        <f ca="1"/>
        <v/>
      </c>
      <c r="D778" s="2" t="str">
        <v/>
      </c>
      <c r="E778" s="29" t="str">
        <v/>
      </c>
      <c r="F778" s="30" t="str">
        <v/>
      </c>
      <c r="G778" s="29" t="str">
        <v/>
      </c>
      <c r="H778" s="30" t="str">
        <v/>
      </c>
      <c r="I778" s="29" t="str">
        <v/>
      </c>
      <c r="J778" s="29" t="str">
        <v/>
      </c>
      <c r="K778" s="29" t="str">
        <v/>
      </c>
      <c r="L778" s="29" t="str">
        <v/>
      </c>
      <c r="M778" s="29" t="str">
        <v/>
      </c>
      <c r="N778" s="29" t="str">
        <v/>
      </c>
      <c r="O778" s="2" t="str">
        <f ca="1"/>
        <v/>
      </c>
      <c r="P778" s="2" t="str">
        <f ca="1"/>
        <v/>
      </c>
      <c r="Q778" s="2" t="s">
        <v>5</v>
      </c>
      <c r="R778" s="2" t="s">
        <v>5</v>
      </c>
      <c r="U778" s="2" t="s">
        <v>561</v>
      </c>
      <c r="V778" s="2" t="e">
        <v>#N/A</v>
      </c>
      <c r="W778" s="2">
        <v>0</v>
      </c>
      <c r="X778" s="29">
        <v>0</v>
      </c>
      <c r="Y778" s="30">
        <v>0</v>
      </c>
      <c r="Z778" s="29">
        <v>0</v>
      </c>
      <c r="AA778" s="30">
        <v>0</v>
      </c>
      <c r="AB778" s="29">
        <v>0</v>
      </c>
      <c r="AC778" s="29">
        <v>0</v>
      </c>
      <c r="AD778" s="29">
        <v>4000</v>
      </c>
      <c r="AE778" s="29">
        <v>2</v>
      </c>
      <c r="AF778" s="29">
        <v>0</v>
      </c>
      <c r="AG778" s="29">
        <v>0</v>
      </c>
      <c r="AH778" s="2" t="e">
        <v>#N/A</v>
      </c>
      <c r="AI778" s="2" t="e">
        <v>#N/A</v>
      </c>
      <c r="AJ778" s="2" t="s">
        <v>5</v>
      </c>
      <c r="AK778" s="2" t="s">
        <v>5</v>
      </c>
    </row>
    <row r="779" spans="3:37" ht="12.5">
      <c r="C779" s="2" t="str">
        <f ca="1"/>
        <v/>
      </c>
      <c r="D779" s="2" t="str">
        <v/>
      </c>
      <c r="E779" s="29" t="str">
        <v/>
      </c>
      <c r="F779" s="30" t="str">
        <v/>
      </c>
      <c r="G779" s="29" t="str">
        <v/>
      </c>
      <c r="H779" s="30" t="str">
        <v/>
      </c>
      <c r="I779" s="29" t="str">
        <v/>
      </c>
      <c r="J779" s="29" t="str">
        <v/>
      </c>
      <c r="K779" s="29" t="str">
        <v/>
      </c>
      <c r="L779" s="29" t="str">
        <v/>
      </c>
      <c r="M779" s="29" t="str">
        <v/>
      </c>
      <c r="N779" s="29" t="str">
        <v/>
      </c>
      <c r="O779" s="2" t="str">
        <f ca="1"/>
        <v/>
      </c>
      <c r="P779" s="2" t="str">
        <f ca="1"/>
        <v/>
      </c>
      <c r="Q779" s="2" t="s">
        <v>5</v>
      </c>
      <c r="R779" s="2" t="s">
        <v>5</v>
      </c>
      <c r="U779" s="2" t="s">
        <v>562</v>
      </c>
      <c r="V779" s="2" t="e">
        <v>#N/A</v>
      </c>
      <c r="W779" s="2">
        <v>0</v>
      </c>
      <c r="X779" s="29">
        <v>0</v>
      </c>
      <c r="Y779" s="30">
        <v>0</v>
      </c>
      <c r="Z779" s="29">
        <v>0</v>
      </c>
      <c r="AA779" s="30">
        <v>0</v>
      </c>
      <c r="AB779" s="29">
        <v>0</v>
      </c>
      <c r="AC779" s="29">
        <v>0</v>
      </c>
      <c r="AD779" s="29">
        <v>6000</v>
      </c>
      <c r="AE779" s="29">
        <v>3</v>
      </c>
      <c r="AF779" s="29">
        <v>0</v>
      </c>
      <c r="AG779" s="29">
        <v>0</v>
      </c>
      <c r="AH779" s="2" t="e">
        <v>#N/A</v>
      </c>
      <c r="AI779" s="2" t="e">
        <v>#N/A</v>
      </c>
      <c r="AJ779" s="2" t="s">
        <v>5</v>
      </c>
      <c r="AK779" s="2" t="s">
        <v>5</v>
      </c>
    </row>
    <row r="780" spans="3:37" ht="12.5">
      <c r="C780" s="2" t="str">
        <f ca="1"/>
        <v/>
      </c>
      <c r="D780" s="2" t="str">
        <v/>
      </c>
      <c r="E780" s="29" t="str">
        <v/>
      </c>
      <c r="F780" s="30" t="str">
        <v/>
      </c>
      <c r="G780" s="29" t="str">
        <v/>
      </c>
      <c r="H780" s="30" t="str">
        <v/>
      </c>
      <c r="I780" s="29" t="str">
        <v/>
      </c>
      <c r="J780" s="29" t="str">
        <v/>
      </c>
      <c r="K780" s="29" t="str">
        <v/>
      </c>
      <c r="L780" s="29" t="str">
        <v/>
      </c>
      <c r="M780" s="29" t="str">
        <v/>
      </c>
      <c r="N780" s="29" t="str">
        <v/>
      </c>
      <c r="O780" s="2" t="str">
        <f ca="1"/>
        <v/>
      </c>
      <c r="P780" s="2" t="str">
        <f ca="1"/>
        <v/>
      </c>
      <c r="Q780" s="2" t="s">
        <v>5</v>
      </c>
      <c r="R780" s="2" t="s">
        <v>5</v>
      </c>
      <c r="U780" s="2" t="s">
        <v>564</v>
      </c>
      <c r="V780" s="2" t="e">
        <v>#N/A</v>
      </c>
      <c r="W780" s="2">
        <v>0</v>
      </c>
      <c r="X780" s="29">
        <v>0</v>
      </c>
      <c r="Y780" s="30">
        <v>0</v>
      </c>
      <c r="Z780" s="29">
        <v>0</v>
      </c>
      <c r="AA780" s="30">
        <v>0</v>
      </c>
      <c r="AB780" s="29">
        <v>0</v>
      </c>
      <c r="AC780" s="29">
        <v>0</v>
      </c>
      <c r="AD780" s="29">
        <v>2000</v>
      </c>
      <c r="AE780" s="29">
        <v>1</v>
      </c>
      <c r="AF780" s="29">
        <v>0</v>
      </c>
      <c r="AG780" s="29">
        <v>0</v>
      </c>
      <c r="AH780" s="2" t="e">
        <v>#N/A</v>
      </c>
      <c r="AI780" s="2" t="e">
        <v>#N/A</v>
      </c>
      <c r="AJ780" s="2" t="s">
        <v>5</v>
      </c>
      <c r="AK780" s="2" t="s">
        <v>5</v>
      </c>
    </row>
    <row r="781" spans="3:37" ht="12.5">
      <c r="C781" s="2" t="str">
        <f ca="1"/>
        <v/>
      </c>
      <c r="D781" s="2" t="str">
        <v/>
      </c>
      <c r="E781" s="29" t="str">
        <v/>
      </c>
      <c r="F781" s="30" t="str">
        <v/>
      </c>
      <c r="G781" s="29" t="str">
        <v/>
      </c>
      <c r="H781" s="30" t="str">
        <v/>
      </c>
      <c r="I781" s="29" t="str">
        <v/>
      </c>
      <c r="J781" s="29" t="str">
        <v/>
      </c>
      <c r="K781" s="29" t="str">
        <v/>
      </c>
      <c r="L781" s="29" t="str">
        <v/>
      </c>
      <c r="M781" s="29" t="str">
        <v/>
      </c>
      <c r="N781" s="29" t="str">
        <v/>
      </c>
      <c r="O781" s="2" t="str">
        <f ca="1"/>
        <v/>
      </c>
      <c r="P781" s="2" t="str">
        <f ca="1"/>
        <v/>
      </c>
      <c r="Q781" s="2" t="s">
        <v>5</v>
      </c>
      <c r="R781" s="2" t="s">
        <v>5</v>
      </c>
      <c r="U781" s="2" t="s">
        <v>567</v>
      </c>
      <c r="V781" s="2" t="e">
        <v>#N/A</v>
      </c>
      <c r="W781" s="2">
        <v>0</v>
      </c>
      <c r="X781" s="29">
        <v>0</v>
      </c>
      <c r="Y781" s="30">
        <v>0</v>
      </c>
      <c r="Z781" s="29">
        <v>0</v>
      </c>
      <c r="AA781" s="30">
        <v>0</v>
      </c>
      <c r="AB781" s="29">
        <v>0</v>
      </c>
      <c r="AC781" s="29">
        <v>0</v>
      </c>
      <c r="AD781" s="29">
        <v>2000</v>
      </c>
      <c r="AE781" s="29">
        <v>1</v>
      </c>
      <c r="AF781" s="29">
        <v>0</v>
      </c>
      <c r="AG781" s="29">
        <v>0</v>
      </c>
      <c r="AH781" s="2" t="e">
        <v>#N/A</v>
      </c>
      <c r="AI781" s="2" t="e">
        <v>#N/A</v>
      </c>
      <c r="AJ781" s="2" t="s">
        <v>5</v>
      </c>
      <c r="AK781" s="2" t="s">
        <v>5</v>
      </c>
    </row>
    <row r="782" spans="3:37" ht="12.5">
      <c r="C782" s="2" t="str">
        <f ca="1"/>
        <v/>
      </c>
      <c r="D782" s="2" t="str">
        <v/>
      </c>
      <c r="E782" s="29" t="str">
        <v/>
      </c>
      <c r="F782" s="30" t="str">
        <v/>
      </c>
      <c r="G782" s="29" t="str">
        <v/>
      </c>
      <c r="H782" s="30" t="str">
        <v/>
      </c>
      <c r="I782" s="29" t="str">
        <v/>
      </c>
      <c r="J782" s="29" t="str">
        <v/>
      </c>
      <c r="K782" s="29" t="str">
        <v/>
      </c>
      <c r="L782" s="29" t="str">
        <v/>
      </c>
      <c r="M782" s="29" t="str">
        <v/>
      </c>
      <c r="N782" s="29" t="str">
        <v/>
      </c>
      <c r="O782" s="2" t="str">
        <f ca="1"/>
        <v/>
      </c>
      <c r="P782" s="2" t="str">
        <f ca="1"/>
        <v/>
      </c>
      <c r="Q782" s="2" t="s">
        <v>5</v>
      </c>
      <c r="R782" s="2" t="s">
        <v>5</v>
      </c>
      <c r="U782" s="2" t="s">
        <v>569</v>
      </c>
      <c r="V782" s="2" t="e">
        <v>#N/A</v>
      </c>
      <c r="W782" s="2">
        <v>0</v>
      </c>
      <c r="X782" s="29">
        <v>0</v>
      </c>
      <c r="Y782" s="30">
        <v>0</v>
      </c>
      <c r="Z782" s="29">
        <v>0</v>
      </c>
      <c r="AA782" s="30">
        <v>0</v>
      </c>
      <c r="AB782" s="29">
        <v>0</v>
      </c>
      <c r="AC782" s="29">
        <v>0</v>
      </c>
      <c r="AD782" s="29">
        <v>2000</v>
      </c>
      <c r="AE782" s="29">
        <v>1</v>
      </c>
      <c r="AF782" s="29">
        <v>0</v>
      </c>
      <c r="AG782" s="29">
        <v>0</v>
      </c>
      <c r="AH782" s="2" t="e">
        <v>#N/A</v>
      </c>
      <c r="AI782" s="2" t="e">
        <v>#N/A</v>
      </c>
      <c r="AJ782" s="2" t="s">
        <v>5</v>
      </c>
      <c r="AK782" s="2" t="s">
        <v>5</v>
      </c>
    </row>
    <row r="783" spans="3:37" ht="12.5">
      <c r="C783" s="2" t="str">
        <f ca="1"/>
        <v/>
      </c>
      <c r="D783" s="2" t="str">
        <v/>
      </c>
      <c r="E783" s="29" t="str">
        <v/>
      </c>
      <c r="F783" s="30" t="str">
        <v/>
      </c>
      <c r="G783" s="29" t="str">
        <v/>
      </c>
      <c r="H783" s="30" t="str">
        <v/>
      </c>
      <c r="I783" s="29" t="str">
        <v/>
      </c>
      <c r="J783" s="29" t="str">
        <v/>
      </c>
      <c r="K783" s="29" t="str">
        <v/>
      </c>
      <c r="L783" s="29" t="str">
        <v/>
      </c>
      <c r="M783" s="29" t="str">
        <v/>
      </c>
      <c r="N783" s="29" t="str">
        <v/>
      </c>
      <c r="O783" s="2" t="str">
        <f ca="1"/>
        <v/>
      </c>
      <c r="P783" s="2" t="str">
        <f ca="1"/>
        <v/>
      </c>
      <c r="Q783" s="2" t="s">
        <v>5</v>
      </c>
      <c r="R783" s="2" t="s">
        <v>5</v>
      </c>
      <c r="U783" s="2" t="s">
        <v>573</v>
      </c>
      <c r="V783" s="2" t="e">
        <v>#N/A</v>
      </c>
      <c r="W783" s="2">
        <v>0</v>
      </c>
      <c r="X783" s="29">
        <v>0</v>
      </c>
      <c r="Y783" s="30">
        <v>0</v>
      </c>
      <c r="Z783" s="29">
        <v>0</v>
      </c>
      <c r="AA783" s="30">
        <v>0</v>
      </c>
      <c r="AB783" s="29">
        <v>0</v>
      </c>
      <c r="AC783" s="29">
        <v>0</v>
      </c>
      <c r="AD783" s="29">
        <v>6000</v>
      </c>
      <c r="AE783" s="29">
        <v>3</v>
      </c>
      <c r="AF783" s="29">
        <v>0</v>
      </c>
      <c r="AG783" s="29">
        <v>0</v>
      </c>
      <c r="AH783" s="2" t="e">
        <v>#N/A</v>
      </c>
      <c r="AI783" s="2" t="e">
        <v>#N/A</v>
      </c>
      <c r="AJ783" s="2" t="s">
        <v>5</v>
      </c>
      <c r="AK783" s="2" t="s">
        <v>5</v>
      </c>
    </row>
    <row r="784" spans="3:37" ht="12.5">
      <c r="C784" s="2" t="str">
        <f ca="1"/>
        <v/>
      </c>
      <c r="D784" s="2" t="str">
        <v/>
      </c>
      <c r="E784" s="29" t="str">
        <v/>
      </c>
      <c r="F784" s="30" t="str">
        <v/>
      </c>
      <c r="G784" s="29" t="str">
        <v/>
      </c>
      <c r="H784" s="30" t="str">
        <v/>
      </c>
      <c r="I784" s="29" t="str">
        <v/>
      </c>
      <c r="J784" s="29" t="str">
        <v/>
      </c>
      <c r="K784" s="29" t="str">
        <v/>
      </c>
      <c r="L784" s="29" t="str">
        <v/>
      </c>
      <c r="M784" s="29" t="str">
        <v/>
      </c>
      <c r="N784" s="29" t="str">
        <v/>
      </c>
      <c r="O784" s="2" t="str">
        <f ca="1"/>
        <v/>
      </c>
      <c r="P784" s="2" t="str">
        <f ca="1"/>
        <v/>
      </c>
      <c r="Q784" s="2" t="s">
        <v>5</v>
      </c>
      <c r="R784" s="2" t="s">
        <v>5</v>
      </c>
      <c r="U784" s="2" t="s">
        <v>574</v>
      </c>
      <c r="V784" s="2" t="e">
        <v>#N/A</v>
      </c>
      <c r="W784" s="2">
        <v>0</v>
      </c>
      <c r="X784" s="29">
        <v>0</v>
      </c>
      <c r="Y784" s="30">
        <v>0</v>
      </c>
      <c r="Z784" s="29">
        <v>0</v>
      </c>
      <c r="AA784" s="30">
        <v>0</v>
      </c>
      <c r="AB784" s="29">
        <v>0</v>
      </c>
      <c r="AC784" s="29">
        <v>0</v>
      </c>
      <c r="AD784" s="29">
        <v>2000</v>
      </c>
      <c r="AE784" s="29">
        <v>1</v>
      </c>
      <c r="AF784" s="29">
        <v>0</v>
      </c>
      <c r="AG784" s="29">
        <v>0</v>
      </c>
      <c r="AH784" s="2" t="e">
        <v>#N/A</v>
      </c>
      <c r="AI784" s="2" t="e">
        <v>#N/A</v>
      </c>
      <c r="AJ784" s="2" t="s">
        <v>5</v>
      </c>
      <c r="AK784" s="2" t="s">
        <v>5</v>
      </c>
    </row>
    <row r="785" spans="3:37" ht="12.5">
      <c r="C785" s="2" t="str">
        <f ca="1"/>
        <v/>
      </c>
      <c r="D785" s="2" t="str">
        <v/>
      </c>
      <c r="E785" s="29" t="str">
        <v/>
      </c>
      <c r="F785" s="30" t="str">
        <v/>
      </c>
      <c r="G785" s="29" t="str">
        <v/>
      </c>
      <c r="H785" s="30" t="str">
        <v/>
      </c>
      <c r="I785" s="29" t="str">
        <v/>
      </c>
      <c r="J785" s="29" t="str">
        <v/>
      </c>
      <c r="K785" s="29" t="str">
        <v/>
      </c>
      <c r="L785" s="29" t="str">
        <v/>
      </c>
      <c r="M785" s="29" t="str">
        <v/>
      </c>
      <c r="N785" s="29" t="str">
        <v/>
      </c>
      <c r="O785" s="2" t="str">
        <f ca="1"/>
        <v/>
      </c>
      <c r="P785" s="2" t="str">
        <f ca="1"/>
        <v/>
      </c>
      <c r="Q785" s="2" t="s">
        <v>5</v>
      </c>
      <c r="R785" s="2" t="s">
        <v>5</v>
      </c>
      <c r="U785" s="2" t="s">
        <v>576</v>
      </c>
      <c r="V785" s="2" t="e">
        <v>#N/A</v>
      </c>
      <c r="W785" s="2">
        <v>0</v>
      </c>
      <c r="X785" s="29">
        <v>0</v>
      </c>
      <c r="Y785" s="30">
        <v>0</v>
      </c>
      <c r="Z785" s="29">
        <v>0</v>
      </c>
      <c r="AA785" s="30">
        <v>0</v>
      </c>
      <c r="AB785" s="29">
        <v>0</v>
      </c>
      <c r="AC785" s="29">
        <v>0</v>
      </c>
      <c r="AD785" s="29">
        <v>2000</v>
      </c>
      <c r="AE785" s="29">
        <v>1</v>
      </c>
      <c r="AF785" s="29">
        <v>0</v>
      </c>
      <c r="AG785" s="29">
        <v>0</v>
      </c>
      <c r="AH785" s="2" t="e">
        <v>#N/A</v>
      </c>
      <c r="AI785" s="2" t="e">
        <v>#N/A</v>
      </c>
      <c r="AJ785" s="2" t="s">
        <v>5</v>
      </c>
      <c r="AK785" s="2" t="s">
        <v>5</v>
      </c>
    </row>
    <row r="786" spans="3:37" ht="12.5">
      <c r="C786" s="2" t="str">
        <f ca="1"/>
        <v/>
      </c>
      <c r="D786" s="2" t="str">
        <v/>
      </c>
      <c r="E786" s="29" t="str">
        <v/>
      </c>
      <c r="F786" s="30" t="str">
        <v/>
      </c>
      <c r="G786" s="29" t="str">
        <v/>
      </c>
      <c r="H786" s="30" t="str">
        <v/>
      </c>
      <c r="I786" s="29" t="str">
        <v/>
      </c>
      <c r="J786" s="29" t="str">
        <v/>
      </c>
      <c r="K786" s="29" t="str">
        <v/>
      </c>
      <c r="L786" s="29" t="str">
        <v/>
      </c>
      <c r="M786" s="29" t="str">
        <v/>
      </c>
      <c r="N786" s="29" t="str">
        <v/>
      </c>
      <c r="O786" s="2" t="str">
        <f ca="1"/>
        <v/>
      </c>
      <c r="P786" s="2" t="str">
        <f ca="1"/>
        <v/>
      </c>
      <c r="Q786" s="2" t="s">
        <v>5</v>
      </c>
      <c r="R786" s="2" t="s">
        <v>5</v>
      </c>
      <c r="U786" s="2" t="s">
        <v>579</v>
      </c>
      <c r="V786" s="2" t="e">
        <v>#N/A</v>
      </c>
      <c r="W786" s="2">
        <v>0</v>
      </c>
      <c r="X786" s="29">
        <v>0</v>
      </c>
      <c r="Y786" s="30">
        <v>0</v>
      </c>
      <c r="Z786" s="29">
        <v>0</v>
      </c>
      <c r="AA786" s="30">
        <v>0</v>
      </c>
      <c r="AB786" s="29">
        <v>0</v>
      </c>
      <c r="AC786" s="29">
        <v>0</v>
      </c>
      <c r="AD786" s="29">
        <v>4000</v>
      </c>
      <c r="AE786" s="29">
        <v>2</v>
      </c>
      <c r="AF786" s="29">
        <v>0</v>
      </c>
      <c r="AG786" s="29">
        <v>0</v>
      </c>
      <c r="AH786" s="2" t="e">
        <v>#N/A</v>
      </c>
      <c r="AI786" s="2" t="e">
        <v>#N/A</v>
      </c>
      <c r="AJ786" s="2" t="s">
        <v>5</v>
      </c>
      <c r="AK786" s="2" t="s">
        <v>5</v>
      </c>
    </row>
    <row r="787" spans="3:37" ht="12.5">
      <c r="C787" s="2" t="str">
        <f ca="1"/>
        <v/>
      </c>
      <c r="D787" s="2" t="str">
        <v/>
      </c>
      <c r="E787" s="29" t="str">
        <v/>
      </c>
      <c r="F787" s="30" t="str">
        <v/>
      </c>
      <c r="G787" s="29" t="str">
        <v/>
      </c>
      <c r="H787" s="30" t="str">
        <v/>
      </c>
      <c r="I787" s="29" t="str">
        <v/>
      </c>
      <c r="J787" s="29" t="str">
        <v/>
      </c>
      <c r="K787" s="29" t="str">
        <v/>
      </c>
      <c r="L787" s="29" t="str">
        <v/>
      </c>
      <c r="M787" s="29" t="str">
        <v/>
      </c>
      <c r="N787" s="29" t="str">
        <v/>
      </c>
      <c r="O787" s="2" t="str">
        <f ca="1"/>
        <v/>
      </c>
      <c r="P787" s="2" t="str">
        <f ca="1"/>
        <v/>
      </c>
      <c r="Q787" s="2" t="s">
        <v>5</v>
      </c>
      <c r="R787" s="2" t="s">
        <v>5</v>
      </c>
      <c r="U787" s="2" t="s">
        <v>580</v>
      </c>
      <c r="V787" s="2" t="e">
        <v>#N/A</v>
      </c>
      <c r="W787" s="2">
        <v>0</v>
      </c>
      <c r="X787" s="29">
        <v>0</v>
      </c>
      <c r="Y787" s="30">
        <v>0</v>
      </c>
      <c r="Z787" s="29">
        <v>0</v>
      </c>
      <c r="AA787" s="30">
        <v>0</v>
      </c>
      <c r="AB787" s="29">
        <v>0</v>
      </c>
      <c r="AC787" s="29">
        <v>0</v>
      </c>
      <c r="AD787" s="29">
        <v>6000</v>
      </c>
      <c r="AE787" s="29">
        <v>3</v>
      </c>
      <c r="AF787" s="29">
        <v>0</v>
      </c>
      <c r="AG787" s="29">
        <v>0</v>
      </c>
      <c r="AH787" s="2" t="e">
        <v>#N/A</v>
      </c>
      <c r="AI787" s="2" t="e">
        <v>#N/A</v>
      </c>
      <c r="AJ787" s="2" t="s">
        <v>5</v>
      </c>
      <c r="AK787" s="2" t="s">
        <v>5</v>
      </c>
    </row>
    <row r="788" spans="3:37" ht="12.5">
      <c r="C788" s="2" t="str">
        <f ca="1"/>
        <v/>
      </c>
      <c r="D788" s="2" t="str">
        <v/>
      </c>
      <c r="E788" s="29" t="str">
        <v/>
      </c>
      <c r="F788" s="30" t="str">
        <v/>
      </c>
      <c r="G788" s="29" t="str">
        <v/>
      </c>
      <c r="H788" s="30" t="str">
        <v/>
      </c>
      <c r="I788" s="29" t="str">
        <v/>
      </c>
      <c r="J788" s="29" t="str">
        <v/>
      </c>
      <c r="K788" s="29" t="str">
        <v/>
      </c>
      <c r="L788" s="29" t="str">
        <v/>
      </c>
      <c r="M788" s="29" t="str">
        <v/>
      </c>
      <c r="N788" s="29" t="str">
        <v/>
      </c>
      <c r="O788" s="2" t="str">
        <f ca="1"/>
        <v/>
      </c>
      <c r="P788" s="2" t="str">
        <f ca="1"/>
        <v/>
      </c>
      <c r="Q788" s="2" t="s">
        <v>5</v>
      </c>
      <c r="R788" s="2" t="s">
        <v>5</v>
      </c>
      <c r="U788" s="2" t="s">
        <v>585</v>
      </c>
      <c r="V788" s="2" t="e">
        <v>#N/A</v>
      </c>
      <c r="W788" s="2">
        <v>0</v>
      </c>
      <c r="X788" s="29">
        <v>0</v>
      </c>
      <c r="Y788" s="30">
        <v>0</v>
      </c>
      <c r="Z788" s="29">
        <v>0</v>
      </c>
      <c r="AA788" s="30">
        <v>0</v>
      </c>
      <c r="AB788" s="29">
        <v>0</v>
      </c>
      <c r="AC788" s="29">
        <v>0</v>
      </c>
      <c r="AD788" s="29">
        <v>2000</v>
      </c>
      <c r="AE788" s="29">
        <v>1</v>
      </c>
      <c r="AF788" s="29">
        <v>0</v>
      </c>
      <c r="AG788" s="29">
        <v>0</v>
      </c>
      <c r="AH788" s="2" t="e">
        <v>#N/A</v>
      </c>
      <c r="AI788" s="2" t="e">
        <v>#N/A</v>
      </c>
      <c r="AJ788" s="2" t="s">
        <v>5</v>
      </c>
      <c r="AK788" s="2" t="s">
        <v>5</v>
      </c>
    </row>
    <row r="789" spans="3:37" ht="12.5">
      <c r="C789" s="2" t="str">
        <f ca="1"/>
        <v/>
      </c>
      <c r="D789" s="2" t="str">
        <v/>
      </c>
      <c r="E789" s="29" t="str">
        <v/>
      </c>
      <c r="F789" s="30" t="str">
        <v/>
      </c>
      <c r="G789" s="29" t="str">
        <v/>
      </c>
      <c r="H789" s="30" t="str">
        <v/>
      </c>
      <c r="I789" s="29" t="str">
        <v/>
      </c>
      <c r="J789" s="29" t="str">
        <v/>
      </c>
      <c r="K789" s="29" t="str">
        <v/>
      </c>
      <c r="L789" s="29" t="str">
        <v/>
      </c>
      <c r="M789" s="29" t="str">
        <v/>
      </c>
      <c r="N789" s="29" t="str">
        <v/>
      </c>
      <c r="O789" s="2" t="str">
        <f ca="1"/>
        <v/>
      </c>
      <c r="P789" s="2" t="str">
        <f ca="1"/>
        <v/>
      </c>
      <c r="Q789" s="2" t="s">
        <v>5</v>
      </c>
      <c r="R789" s="2" t="s">
        <v>5</v>
      </c>
      <c r="U789" s="2" t="s">
        <v>589</v>
      </c>
      <c r="V789" s="2" t="e">
        <v>#N/A</v>
      </c>
      <c r="W789" s="2">
        <v>0</v>
      </c>
      <c r="X789" s="29">
        <v>0</v>
      </c>
      <c r="Y789" s="30">
        <v>0</v>
      </c>
      <c r="Z789" s="29">
        <v>0</v>
      </c>
      <c r="AA789" s="30">
        <v>0</v>
      </c>
      <c r="AB789" s="29">
        <v>0</v>
      </c>
      <c r="AC789" s="29">
        <v>0</v>
      </c>
      <c r="AD789" s="29">
        <v>2000</v>
      </c>
      <c r="AE789" s="29">
        <v>1</v>
      </c>
      <c r="AF789" s="29">
        <v>0</v>
      </c>
      <c r="AG789" s="29">
        <v>0</v>
      </c>
      <c r="AH789" s="2" t="e">
        <v>#N/A</v>
      </c>
      <c r="AI789" s="2" t="e">
        <v>#N/A</v>
      </c>
      <c r="AJ789" s="2" t="s">
        <v>5</v>
      </c>
      <c r="AK789" s="2" t="s">
        <v>5</v>
      </c>
    </row>
    <row r="790" spans="3:37" ht="12.5">
      <c r="C790" s="2" t="str">
        <f ca="1"/>
        <v/>
      </c>
      <c r="D790" s="2" t="str">
        <v/>
      </c>
      <c r="E790" s="29" t="str">
        <v/>
      </c>
      <c r="F790" s="30" t="str">
        <v/>
      </c>
      <c r="G790" s="29" t="str">
        <v/>
      </c>
      <c r="H790" s="30" t="str">
        <v/>
      </c>
      <c r="I790" s="29" t="str">
        <v/>
      </c>
      <c r="J790" s="29" t="str">
        <v/>
      </c>
      <c r="K790" s="29" t="str">
        <v/>
      </c>
      <c r="L790" s="29" t="str">
        <v/>
      </c>
      <c r="M790" s="29" t="str">
        <v/>
      </c>
      <c r="N790" s="29" t="str">
        <v/>
      </c>
      <c r="O790" s="2" t="str">
        <f ca="1"/>
        <v/>
      </c>
      <c r="P790" s="2" t="str">
        <f ca="1"/>
        <v/>
      </c>
      <c r="Q790" s="2" t="s">
        <v>5</v>
      </c>
      <c r="R790" s="2" t="s">
        <v>5</v>
      </c>
      <c r="U790" s="2" t="s">
        <v>591</v>
      </c>
      <c r="V790" s="2" t="e">
        <v>#N/A</v>
      </c>
      <c r="W790" s="2">
        <v>0</v>
      </c>
      <c r="X790" s="29">
        <v>0</v>
      </c>
      <c r="Y790" s="30">
        <v>0</v>
      </c>
      <c r="Z790" s="29">
        <v>0</v>
      </c>
      <c r="AA790" s="30">
        <v>0</v>
      </c>
      <c r="AB790" s="29">
        <v>0</v>
      </c>
      <c r="AC790" s="29">
        <v>0</v>
      </c>
      <c r="AD790" s="29">
        <v>2000</v>
      </c>
      <c r="AE790" s="29">
        <v>1</v>
      </c>
      <c r="AF790" s="29">
        <v>0</v>
      </c>
      <c r="AG790" s="29">
        <v>0</v>
      </c>
      <c r="AH790" s="2" t="e">
        <v>#N/A</v>
      </c>
      <c r="AI790" s="2" t="e">
        <v>#N/A</v>
      </c>
      <c r="AJ790" s="2" t="s">
        <v>5</v>
      </c>
      <c r="AK790" s="2" t="s">
        <v>5</v>
      </c>
    </row>
    <row r="791" spans="3:37" ht="12.5">
      <c r="C791" s="2" t="str">
        <f ca="1"/>
        <v/>
      </c>
      <c r="D791" s="2" t="str">
        <v/>
      </c>
      <c r="E791" s="29" t="str">
        <v/>
      </c>
      <c r="F791" s="30" t="str">
        <v/>
      </c>
      <c r="G791" s="29" t="str">
        <v/>
      </c>
      <c r="H791" s="30" t="str">
        <v/>
      </c>
      <c r="I791" s="29" t="str">
        <v/>
      </c>
      <c r="J791" s="29" t="str">
        <v/>
      </c>
      <c r="K791" s="29" t="str">
        <v/>
      </c>
      <c r="L791" s="29" t="str">
        <v/>
      </c>
      <c r="M791" s="29" t="str">
        <v/>
      </c>
      <c r="N791" s="29" t="str">
        <v/>
      </c>
      <c r="O791" s="2" t="str">
        <f ca="1"/>
        <v/>
      </c>
      <c r="P791" s="2" t="str">
        <f ca="1"/>
        <v/>
      </c>
      <c r="Q791" s="2" t="s">
        <v>5</v>
      </c>
      <c r="R791" s="2" t="s">
        <v>5</v>
      </c>
      <c r="U791" s="2" t="s">
        <v>597</v>
      </c>
      <c r="V791" s="2" t="e">
        <v>#N/A</v>
      </c>
      <c r="W791" s="2">
        <v>0</v>
      </c>
      <c r="X791" s="29">
        <v>0</v>
      </c>
      <c r="Y791" s="30">
        <v>0</v>
      </c>
      <c r="Z791" s="29">
        <v>0</v>
      </c>
      <c r="AA791" s="30">
        <v>0</v>
      </c>
      <c r="AB791" s="29">
        <v>0</v>
      </c>
      <c r="AC791" s="29">
        <v>0</v>
      </c>
      <c r="AD791" s="29">
        <v>2000</v>
      </c>
      <c r="AE791" s="29">
        <v>1</v>
      </c>
      <c r="AF791" s="29">
        <v>0</v>
      </c>
      <c r="AG791" s="29">
        <v>0</v>
      </c>
      <c r="AH791" s="2" t="e">
        <v>#N/A</v>
      </c>
      <c r="AI791" s="2" t="e">
        <v>#N/A</v>
      </c>
      <c r="AJ791" s="2" t="s">
        <v>5</v>
      </c>
      <c r="AK791" s="2" t="s">
        <v>5</v>
      </c>
    </row>
    <row r="792" spans="3:37" ht="12.5">
      <c r="C792" s="2" t="str">
        <f ca="1"/>
        <v/>
      </c>
      <c r="D792" s="2" t="str">
        <v/>
      </c>
      <c r="E792" s="29" t="str">
        <v/>
      </c>
      <c r="F792" s="30" t="str">
        <v/>
      </c>
      <c r="G792" s="29" t="str">
        <v/>
      </c>
      <c r="H792" s="30" t="str">
        <v/>
      </c>
      <c r="I792" s="29" t="str">
        <v/>
      </c>
      <c r="J792" s="29" t="str">
        <v/>
      </c>
      <c r="K792" s="29" t="str">
        <v/>
      </c>
      <c r="L792" s="29" t="str">
        <v/>
      </c>
      <c r="M792" s="29" t="str">
        <v/>
      </c>
      <c r="N792" s="29" t="str">
        <v/>
      </c>
      <c r="O792" s="2" t="str">
        <f ca="1"/>
        <v/>
      </c>
      <c r="P792" s="2" t="str">
        <f ca="1"/>
        <v/>
      </c>
      <c r="Q792" s="2" t="s">
        <v>5</v>
      </c>
      <c r="R792" s="2" t="s">
        <v>5</v>
      </c>
      <c r="U792" s="2" t="s">
        <v>600</v>
      </c>
      <c r="V792" s="2" t="e">
        <v>#N/A</v>
      </c>
      <c r="W792" s="2">
        <v>0</v>
      </c>
      <c r="X792" s="29">
        <v>0</v>
      </c>
      <c r="Y792" s="30">
        <v>0</v>
      </c>
      <c r="Z792" s="29">
        <v>0</v>
      </c>
      <c r="AA792" s="30">
        <v>0</v>
      </c>
      <c r="AB792" s="29">
        <v>0</v>
      </c>
      <c r="AC792" s="29">
        <v>0</v>
      </c>
      <c r="AD792" s="29">
        <v>4000</v>
      </c>
      <c r="AE792" s="29">
        <v>2</v>
      </c>
      <c r="AF792" s="29">
        <v>0</v>
      </c>
      <c r="AG792" s="29">
        <v>0</v>
      </c>
      <c r="AH792" s="2" t="e">
        <v>#N/A</v>
      </c>
      <c r="AI792" s="2" t="e">
        <v>#N/A</v>
      </c>
      <c r="AJ792" s="2" t="s">
        <v>5</v>
      </c>
      <c r="AK792" s="2" t="s">
        <v>5</v>
      </c>
    </row>
    <row r="793" spans="3:37" ht="12.5">
      <c r="C793" s="2" t="str">
        <f ca="1"/>
        <v/>
      </c>
      <c r="D793" s="2" t="str">
        <v/>
      </c>
      <c r="E793" s="29" t="str">
        <v/>
      </c>
      <c r="F793" s="30" t="str">
        <v/>
      </c>
      <c r="G793" s="29" t="str">
        <v/>
      </c>
      <c r="H793" s="30" t="str">
        <v/>
      </c>
      <c r="I793" s="29" t="str">
        <v/>
      </c>
      <c r="J793" s="29" t="str">
        <v/>
      </c>
      <c r="K793" s="29" t="str">
        <v/>
      </c>
      <c r="L793" s="29" t="str">
        <v/>
      </c>
      <c r="M793" s="29" t="str">
        <v/>
      </c>
      <c r="N793" s="29" t="str">
        <v/>
      </c>
      <c r="O793" s="2" t="str">
        <f ca="1"/>
        <v/>
      </c>
      <c r="P793" s="2" t="str">
        <f ca="1"/>
        <v/>
      </c>
      <c r="Q793" s="2" t="s">
        <v>5</v>
      </c>
      <c r="R793" s="2" t="s">
        <v>5</v>
      </c>
      <c r="U793" s="2" t="s">
        <v>602</v>
      </c>
      <c r="V793" s="2" t="e">
        <v>#N/A</v>
      </c>
      <c r="W793" s="2">
        <v>0</v>
      </c>
      <c r="X793" s="29">
        <v>0</v>
      </c>
      <c r="Y793" s="30">
        <v>0</v>
      </c>
      <c r="Z793" s="29">
        <v>0</v>
      </c>
      <c r="AA793" s="30">
        <v>0</v>
      </c>
      <c r="AB793" s="29">
        <v>0</v>
      </c>
      <c r="AC793" s="29">
        <v>0</v>
      </c>
      <c r="AD793" s="29">
        <v>4000</v>
      </c>
      <c r="AE793" s="29">
        <v>2</v>
      </c>
      <c r="AF793" s="29">
        <v>0</v>
      </c>
      <c r="AG793" s="29">
        <v>0</v>
      </c>
      <c r="AH793" s="2" t="e">
        <v>#N/A</v>
      </c>
      <c r="AI793" s="2" t="e">
        <v>#N/A</v>
      </c>
      <c r="AJ793" s="2" t="s">
        <v>5</v>
      </c>
      <c r="AK793" s="2" t="s">
        <v>5</v>
      </c>
    </row>
    <row r="794" spans="3:37" ht="12.5">
      <c r="C794" s="2" t="str">
        <f ca="1"/>
        <v/>
      </c>
      <c r="D794" s="2" t="str">
        <v/>
      </c>
      <c r="E794" s="29" t="str">
        <v/>
      </c>
      <c r="F794" s="30" t="str">
        <v/>
      </c>
      <c r="G794" s="29" t="str">
        <v/>
      </c>
      <c r="H794" s="30" t="str">
        <v/>
      </c>
      <c r="I794" s="29" t="str">
        <v/>
      </c>
      <c r="J794" s="29" t="str">
        <v/>
      </c>
      <c r="K794" s="29" t="str">
        <v/>
      </c>
      <c r="L794" s="29" t="str">
        <v/>
      </c>
      <c r="M794" s="29" t="str">
        <v/>
      </c>
      <c r="N794" s="29" t="str">
        <v/>
      </c>
      <c r="O794" s="2" t="str">
        <f ca="1"/>
        <v/>
      </c>
      <c r="P794" s="2" t="str">
        <f ca="1"/>
        <v/>
      </c>
      <c r="Q794" s="2" t="s">
        <v>5</v>
      </c>
      <c r="R794" s="2" t="s">
        <v>5</v>
      </c>
      <c r="U794" s="2" t="s">
        <v>603</v>
      </c>
      <c r="V794" s="2" t="e">
        <v>#N/A</v>
      </c>
      <c r="W794" s="2">
        <v>0</v>
      </c>
      <c r="X794" s="29">
        <v>0</v>
      </c>
      <c r="Y794" s="30">
        <v>0</v>
      </c>
      <c r="Z794" s="29">
        <v>0</v>
      </c>
      <c r="AA794" s="30">
        <v>0</v>
      </c>
      <c r="AB794" s="29">
        <v>0</v>
      </c>
      <c r="AC794" s="29">
        <v>0</v>
      </c>
      <c r="AD794" s="29">
        <v>2000</v>
      </c>
      <c r="AE794" s="29">
        <v>1</v>
      </c>
      <c r="AF794" s="29">
        <v>0</v>
      </c>
      <c r="AG794" s="29">
        <v>0</v>
      </c>
      <c r="AH794" s="2" t="e">
        <v>#N/A</v>
      </c>
      <c r="AI794" s="2" t="e">
        <v>#N/A</v>
      </c>
      <c r="AJ794" s="2" t="s">
        <v>5</v>
      </c>
      <c r="AK794" s="2" t="s">
        <v>5</v>
      </c>
    </row>
    <row r="795" spans="3:37" ht="12.5">
      <c r="C795" s="2" t="str">
        <f ca="1"/>
        <v/>
      </c>
      <c r="D795" s="2" t="str">
        <v/>
      </c>
      <c r="E795" s="29" t="str">
        <v/>
      </c>
      <c r="F795" s="30" t="str">
        <v/>
      </c>
      <c r="G795" s="29" t="str">
        <v/>
      </c>
      <c r="H795" s="30" t="str">
        <v/>
      </c>
      <c r="I795" s="29" t="str">
        <v/>
      </c>
      <c r="J795" s="29" t="str">
        <v/>
      </c>
      <c r="K795" s="29" t="str">
        <v/>
      </c>
      <c r="L795" s="29" t="str">
        <v/>
      </c>
      <c r="M795" s="29" t="str">
        <v/>
      </c>
      <c r="N795" s="29" t="str">
        <v/>
      </c>
      <c r="O795" s="2" t="str">
        <f ca="1"/>
        <v/>
      </c>
      <c r="P795" s="2" t="str">
        <f ca="1"/>
        <v/>
      </c>
      <c r="Q795" s="2" t="s">
        <v>5</v>
      </c>
      <c r="R795" s="2" t="s">
        <v>5</v>
      </c>
      <c r="U795" s="2" t="s">
        <v>605</v>
      </c>
      <c r="V795" s="2" t="e">
        <v>#N/A</v>
      </c>
      <c r="W795" s="2">
        <v>0</v>
      </c>
      <c r="X795" s="29">
        <v>0</v>
      </c>
      <c r="Y795" s="30">
        <v>0</v>
      </c>
      <c r="Z795" s="29">
        <v>0</v>
      </c>
      <c r="AA795" s="30">
        <v>0</v>
      </c>
      <c r="AB795" s="29">
        <v>0</v>
      </c>
      <c r="AC795" s="29">
        <v>0</v>
      </c>
      <c r="AD795" s="29">
        <v>2000</v>
      </c>
      <c r="AE795" s="29">
        <v>1</v>
      </c>
      <c r="AF795" s="29">
        <v>0</v>
      </c>
      <c r="AG795" s="29">
        <v>0</v>
      </c>
      <c r="AH795" s="2" t="e">
        <v>#N/A</v>
      </c>
      <c r="AI795" s="2" t="e">
        <v>#N/A</v>
      </c>
      <c r="AJ795" s="2" t="s">
        <v>5</v>
      </c>
      <c r="AK795" s="2" t="s">
        <v>5</v>
      </c>
    </row>
    <row r="796" spans="3:37" ht="12.5">
      <c r="C796" s="2" t="str">
        <f ca="1"/>
        <v/>
      </c>
      <c r="D796" s="2" t="str">
        <v/>
      </c>
      <c r="E796" s="29" t="str">
        <v/>
      </c>
      <c r="F796" s="30" t="str">
        <v/>
      </c>
      <c r="G796" s="29" t="str">
        <v/>
      </c>
      <c r="H796" s="30" t="str">
        <v/>
      </c>
      <c r="I796" s="29" t="str">
        <v/>
      </c>
      <c r="J796" s="29" t="str">
        <v/>
      </c>
      <c r="K796" s="29" t="str">
        <v/>
      </c>
      <c r="L796" s="29" t="str">
        <v/>
      </c>
      <c r="M796" s="29" t="str">
        <v/>
      </c>
      <c r="N796" s="29" t="str">
        <v/>
      </c>
      <c r="O796" s="2" t="str">
        <f ca="1"/>
        <v/>
      </c>
      <c r="P796" s="2" t="str">
        <f ca="1"/>
        <v/>
      </c>
      <c r="Q796" s="2" t="s">
        <v>5</v>
      </c>
      <c r="R796" s="2" t="s">
        <v>5</v>
      </c>
      <c r="U796" s="2" t="s">
        <v>607</v>
      </c>
      <c r="V796" s="2" t="e">
        <v>#N/A</v>
      </c>
      <c r="W796" s="2">
        <v>0</v>
      </c>
      <c r="X796" s="29">
        <v>0</v>
      </c>
      <c r="Y796" s="30">
        <v>0</v>
      </c>
      <c r="Z796" s="29">
        <v>0</v>
      </c>
      <c r="AA796" s="30">
        <v>0</v>
      </c>
      <c r="AB796" s="29">
        <v>0</v>
      </c>
      <c r="AC796" s="29">
        <v>0</v>
      </c>
      <c r="AD796" s="29">
        <v>2000</v>
      </c>
      <c r="AE796" s="29">
        <v>1</v>
      </c>
      <c r="AF796" s="29">
        <v>0</v>
      </c>
      <c r="AG796" s="29">
        <v>0</v>
      </c>
      <c r="AH796" s="2" t="e">
        <v>#N/A</v>
      </c>
      <c r="AI796" s="2" t="e">
        <v>#N/A</v>
      </c>
      <c r="AJ796" s="2" t="s">
        <v>5</v>
      </c>
      <c r="AK796" s="2" t="s">
        <v>5</v>
      </c>
    </row>
    <row r="797" spans="3:37" ht="12.5">
      <c r="C797" s="2" t="str">
        <f ca="1"/>
        <v/>
      </c>
      <c r="D797" s="2" t="str">
        <v/>
      </c>
      <c r="E797" s="29" t="str">
        <v/>
      </c>
      <c r="F797" s="30" t="str">
        <v/>
      </c>
      <c r="G797" s="29" t="str">
        <v/>
      </c>
      <c r="H797" s="30" t="str">
        <v/>
      </c>
      <c r="I797" s="29" t="str">
        <v/>
      </c>
      <c r="J797" s="29" t="str">
        <v/>
      </c>
      <c r="K797" s="29" t="str">
        <v/>
      </c>
      <c r="L797" s="29" t="str">
        <v/>
      </c>
      <c r="M797" s="29" t="str">
        <v/>
      </c>
      <c r="N797" s="29" t="str">
        <v/>
      </c>
      <c r="O797" s="2" t="str">
        <f ca="1"/>
        <v/>
      </c>
      <c r="P797" s="2" t="str">
        <f ca="1"/>
        <v/>
      </c>
      <c r="Q797" s="2" t="s">
        <v>5</v>
      </c>
      <c r="R797" s="2" t="s">
        <v>5</v>
      </c>
      <c r="U797" s="2" t="s">
        <v>614</v>
      </c>
      <c r="V797" s="2" t="e">
        <v>#N/A</v>
      </c>
      <c r="W797" s="2">
        <v>0</v>
      </c>
      <c r="X797" s="29">
        <v>0</v>
      </c>
      <c r="Y797" s="30">
        <v>0</v>
      </c>
      <c r="Z797" s="29">
        <v>0</v>
      </c>
      <c r="AA797" s="30">
        <v>0</v>
      </c>
      <c r="AB797" s="29">
        <v>0</v>
      </c>
      <c r="AC797" s="29">
        <v>0</v>
      </c>
      <c r="AD797" s="29">
        <v>2000</v>
      </c>
      <c r="AE797" s="29">
        <v>1</v>
      </c>
      <c r="AF797" s="29">
        <v>0</v>
      </c>
      <c r="AG797" s="29">
        <v>0</v>
      </c>
      <c r="AH797" s="2" t="e">
        <v>#N/A</v>
      </c>
      <c r="AI797" s="2" t="e">
        <v>#N/A</v>
      </c>
      <c r="AJ797" s="2" t="s">
        <v>5</v>
      </c>
      <c r="AK797" s="2" t="s">
        <v>5</v>
      </c>
    </row>
    <row r="798" spans="3:37" ht="12.5">
      <c r="C798" s="2" t="str">
        <f ca="1"/>
        <v/>
      </c>
      <c r="D798" s="2" t="str">
        <v/>
      </c>
      <c r="E798" s="29" t="str">
        <v/>
      </c>
      <c r="F798" s="30" t="str">
        <v/>
      </c>
      <c r="G798" s="29" t="str">
        <v/>
      </c>
      <c r="H798" s="30" t="str">
        <v/>
      </c>
      <c r="I798" s="29" t="str">
        <v/>
      </c>
      <c r="J798" s="29" t="str">
        <v/>
      </c>
      <c r="K798" s="29" t="str">
        <v/>
      </c>
      <c r="L798" s="29" t="str">
        <v/>
      </c>
      <c r="M798" s="29" t="str">
        <v/>
      </c>
      <c r="N798" s="29" t="str">
        <v/>
      </c>
      <c r="O798" s="2" t="str">
        <f ca="1"/>
        <v/>
      </c>
      <c r="P798" s="2" t="str">
        <f ca="1"/>
        <v/>
      </c>
      <c r="Q798" s="2" t="s">
        <v>5</v>
      </c>
      <c r="R798" s="2" t="s">
        <v>5</v>
      </c>
      <c r="U798" s="2" t="s">
        <v>617</v>
      </c>
      <c r="V798" s="2" t="e">
        <v>#N/A</v>
      </c>
      <c r="W798" s="2">
        <v>0</v>
      </c>
      <c r="X798" s="29">
        <v>0</v>
      </c>
      <c r="Y798" s="30">
        <v>0</v>
      </c>
      <c r="Z798" s="29">
        <v>0</v>
      </c>
      <c r="AA798" s="30">
        <v>0</v>
      </c>
      <c r="AB798" s="29">
        <v>0</v>
      </c>
      <c r="AC798" s="29">
        <v>0</v>
      </c>
      <c r="AD798" s="29">
        <v>2000</v>
      </c>
      <c r="AE798" s="29">
        <v>1</v>
      </c>
      <c r="AF798" s="29">
        <v>0</v>
      </c>
      <c r="AG798" s="29">
        <v>0</v>
      </c>
      <c r="AH798" s="2" t="e">
        <v>#N/A</v>
      </c>
      <c r="AI798" s="2" t="e">
        <v>#N/A</v>
      </c>
      <c r="AJ798" s="2" t="s">
        <v>5</v>
      </c>
      <c r="AK798" s="2" t="s">
        <v>5</v>
      </c>
    </row>
    <row r="799" spans="3:37" ht="12.5">
      <c r="C799" s="2" t="str">
        <f ca="1"/>
        <v/>
      </c>
      <c r="D799" s="2" t="str">
        <v/>
      </c>
      <c r="E799" s="29" t="str">
        <v/>
      </c>
      <c r="F799" s="30" t="str">
        <v/>
      </c>
      <c r="G799" s="29" t="str">
        <v/>
      </c>
      <c r="H799" s="30" t="str">
        <v/>
      </c>
      <c r="I799" s="29" t="str">
        <v/>
      </c>
      <c r="J799" s="29" t="str">
        <v/>
      </c>
      <c r="K799" s="29" t="str">
        <v/>
      </c>
      <c r="L799" s="29" t="str">
        <v/>
      </c>
      <c r="M799" s="29" t="str">
        <v/>
      </c>
      <c r="N799" s="29" t="str">
        <v/>
      </c>
      <c r="O799" s="2" t="str">
        <f ca="1"/>
        <v/>
      </c>
      <c r="P799" s="2" t="str">
        <f ca="1"/>
        <v/>
      </c>
      <c r="Q799" s="2" t="s">
        <v>5</v>
      </c>
      <c r="R799" s="2" t="s">
        <v>5</v>
      </c>
      <c r="U799" s="2" t="s">
        <v>618</v>
      </c>
      <c r="V799" s="2" t="e">
        <v>#N/A</v>
      </c>
      <c r="W799" s="2">
        <v>0</v>
      </c>
      <c r="X799" s="29">
        <v>0</v>
      </c>
      <c r="Y799" s="30">
        <v>0</v>
      </c>
      <c r="Z799" s="29">
        <v>0</v>
      </c>
      <c r="AA799" s="30">
        <v>0</v>
      </c>
      <c r="AB799" s="29">
        <v>0</v>
      </c>
      <c r="AC799" s="29">
        <v>0</v>
      </c>
      <c r="AD799" s="29">
        <v>2000</v>
      </c>
      <c r="AE799" s="29">
        <v>1</v>
      </c>
      <c r="AF799" s="29">
        <v>0</v>
      </c>
      <c r="AG799" s="29">
        <v>0</v>
      </c>
      <c r="AH799" s="2" t="e">
        <v>#N/A</v>
      </c>
      <c r="AI799" s="2" t="e">
        <v>#N/A</v>
      </c>
      <c r="AJ799" s="2" t="s">
        <v>5</v>
      </c>
      <c r="AK799" s="2" t="s">
        <v>5</v>
      </c>
    </row>
    <row r="800" spans="3:37" ht="12.5">
      <c r="C800" s="2" t="str">
        <f ca="1"/>
        <v/>
      </c>
      <c r="D800" s="2" t="str">
        <v/>
      </c>
      <c r="E800" s="29" t="str">
        <v/>
      </c>
      <c r="F800" s="30" t="str">
        <v/>
      </c>
      <c r="G800" s="29" t="str">
        <v/>
      </c>
      <c r="H800" s="30" t="str">
        <v/>
      </c>
      <c r="I800" s="29" t="str">
        <v/>
      </c>
      <c r="J800" s="29" t="str">
        <v/>
      </c>
      <c r="K800" s="29" t="str">
        <v/>
      </c>
      <c r="L800" s="29" t="str">
        <v/>
      </c>
      <c r="M800" s="29" t="str">
        <v/>
      </c>
      <c r="N800" s="29" t="str">
        <v/>
      </c>
      <c r="O800" s="2" t="str">
        <f ca="1"/>
        <v/>
      </c>
      <c r="P800" s="2" t="str">
        <f ca="1"/>
        <v/>
      </c>
      <c r="Q800" s="2" t="s">
        <v>5</v>
      </c>
      <c r="R800" s="2" t="s">
        <v>5</v>
      </c>
      <c r="U800" s="2" t="s">
        <v>620</v>
      </c>
      <c r="V800" s="2" t="e">
        <v>#N/A</v>
      </c>
      <c r="W800" s="2">
        <v>0</v>
      </c>
      <c r="X800" s="29">
        <v>0</v>
      </c>
      <c r="Y800" s="30">
        <v>0</v>
      </c>
      <c r="Z800" s="29">
        <v>0</v>
      </c>
      <c r="AA800" s="30">
        <v>0</v>
      </c>
      <c r="AB800" s="29">
        <v>0</v>
      </c>
      <c r="AC800" s="29">
        <v>0</v>
      </c>
      <c r="AD800" s="29">
        <v>2000</v>
      </c>
      <c r="AE800" s="29">
        <v>1</v>
      </c>
      <c r="AF800" s="29">
        <v>0</v>
      </c>
      <c r="AG800" s="29">
        <v>0</v>
      </c>
      <c r="AH800" s="2" t="e">
        <v>#N/A</v>
      </c>
      <c r="AI800" s="2" t="e">
        <v>#N/A</v>
      </c>
      <c r="AJ800" s="2" t="s">
        <v>5</v>
      </c>
      <c r="AK800" s="2" t="s">
        <v>5</v>
      </c>
    </row>
    <row r="801" spans="3:37" ht="12.5">
      <c r="C801" s="2" t="str">
        <f ca="1"/>
        <v/>
      </c>
      <c r="D801" s="2" t="str">
        <v/>
      </c>
      <c r="E801" s="29" t="str">
        <v/>
      </c>
      <c r="F801" s="30" t="str">
        <v/>
      </c>
      <c r="G801" s="29" t="str">
        <v/>
      </c>
      <c r="H801" s="30" t="str">
        <v/>
      </c>
      <c r="I801" s="29" t="str">
        <v/>
      </c>
      <c r="J801" s="29" t="str">
        <v/>
      </c>
      <c r="K801" s="29" t="str">
        <v/>
      </c>
      <c r="L801" s="29" t="str">
        <v/>
      </c>
      <c r="M801" s="29" t="str">
        <v/>
      </c>
      <c r="N801" s="29" t="str">
        <v/>
      </c>
      <c r="O801" s="2" t="str">
        <f ca="1"/>
        <v/>
      </c>
      <c r="P801" s="2" t="str">
        <f ca="1"/>
        <v/>
      </c>
      <c r="Q801" s="2" t="s">
        <v>5</v>
      </c>
      <c r="R801" s="2" t="s">
        <v>5</v>
      </c>
      <c r="U801" s="2" t="s">
        <v>625</v>
      </c>
      <c r="V801" s="2" t="e">
        <v>#N/A</v>
      </c>
      <c r="W801" s="2">
        <v>0</v>
      </c>
      <c r="X801" s="29">
        <v>0</v>
      </c>
      <c r="Y801" s="30">
        <v>0</v>
      </c>
      <c r="Z801" s="29">
        <v>0</v>
      </c>
      <c r="AA801" s="30">
        <v>0</v>
      </c>
      <c r="AB801" s="29">
        <v>0</v>
      </c>
      <c r="AC801" s="29">
        <v>0</v>
      </c>
      <c r="AD801" s="29">
        <v>2000</v>
      </c>
      <c r="AE801" s="29">
        <v>1</v>
      </c>
      <c r="AF801" s="29">
        <v>0</v>
      </c>
      <c r="AG801" s="29">
        <v>0</v>
      </c>
      <c r="AH801" s="2" t="e">
        <v>#N/A</v>
      </c>
      <c r="AI801" s="2" t="e">
        <v>#N/A</v>
      </c>
      <c r="AJ801" s="2" t="s">
        <v>5</v>
      </c>
      <c r="AK801" s="2" t="s">
        <v>5</v>
      </c>
    </row>
    <row r="802" spans="3:37" ht="12.5">
      <c r="C802" s="2" t="str">
        <f ca="1"/>
        <v/>
      </c>
      <c r="D802" s="2" t="str">
        <v/>
      </c>
      <c r="E802" s="29" t="str">
        <v/>
      </c>
      <c r="F802" s="30" t="str">
        <v/>
      </c>
      <c r="G802" s="29" t="str">
        <v/>
      </c>
      <c r="H802" s="30" t="str">
        <v/>
      </c>
      <c r="I802" s="29" t="str">
        <v/>
      </c>
      <c r="J802" s="29" t="str">
        <v/>
      </c>
      <c r="K802" s="29" t="str">
        <v/>
      </c>
      <c r="L802" s="29" t="str">
        <v/>
      </c>
      <c r="M802" s="29" t="str">
        <v/>
      </c>
      <c r="N802" s="29" t="str">
        <v/>
      </c>
      <c r="O802" s="2" t="str">
        <f ca="1"/>
        <v/>
      </c>
      <c r="P802" s="2" t="str">
        <f ca="1"/>
        <v/>
      </c>
      <c r="Q802" s="2" t="s">
        <v>5</v>
      </c>
      <c r="R802" s="2" t="s">
        <v>5</v>
      </c>
      <c r="U802" s="2" t="s">
        <v>626</v>
      </c>
      <c r="V802" s="2" t="e">
        <v>#N/A</v>
      </c>
      <c r="W802" s="2">
        <v>0</v>
      </c>
      <c r="X802" s="29">
        <v>0</v>
      </c>
      <c r="Y802" s="30">
        <v>0</v>
      </c>
      <c r="Z802" s="29">
        <v>0</v>
      </c>
      <c r="AA802" s="30">
        <v>0</v>
      </c>
      <c r="AB802" s="29">
        <v>0</v>
      </c>
      <c r="AC802" s="29">
        <v>0</v>
      </c>
      <c r="AD802" s="29">
        <v>2000</v>
      </c>
      <c r="AE802" s="29">
        <v>1</v>
      </c>
      <c r="AF802" s="29">
        <v>0</v>
      </c>
      <c r="AG802" s="29">
        <v>0</v>
      </c>
      <c r="AH802" s="2" t="e">
        <v>#N/A</v>
      </c>
      <c r="AI802" s="2" t="e">
        <v>#N/A</v>
      </c>
      <c r="AJ802" s="2" t="s">
        <v>5</v>
      </c>
      <c r="AK802" s="2" t="s">
        <v>5</v>
      </c>
    </row>
    <row r="803" spans="3:37" ht="12.5">
      <c r="C803" s="2" t="str">
        <f ca="1"/>
        <v/>
      </c>
      <c r="D803" s="2" t="str">
        <v/>
      </c>
      <c r="E803" s="29" t="str">
        <v/>
      </c>
      <c r="F803" s="30" t="str">
        <v/>
      </c>
      <c r="G803" s="29" t="str">
        <v/>
      </c>
      <c r="H803" s="30" t="str">
        <v/>
      </c>
      <c r="I803" s="29" t="str">
        <v/>
      </c>
      <c r="J803" s="29" t="str">
        <v/>
      </c>
      <c r="K803" s="29" t="str">
        <v/>
      </c>
      <c r="L803" s="29" t="str">
        <v/>
      </c>
      <c r="M803" s="29" t="str">
        <v/>
      </c>
      <c r="N803" s="29" t="str">
        <v/>
      </c>
      <c r="O803" s="2" t="str">
        <f ca="1"/>
        <v/>
      </c>
      <c r="P803" s="2" t="str">
        <f ca="1"/>
        <v/>
      </c>
      <c r="Q803" s="2" t="s">
        <v>5</v>
      </c>
      <c r="R803" s="2" t="s">
        <v>5</v>
      </c>
      <c r="U803" s="2" t="s">
        <v>628</v>
      </c>
      <c r="V803" s="2" t="e">
        <v>#N/A</v>
      </c>
      <c r="W803" s="2">
        <v>0</v>
      </c>
      <c r="X803" s="29">
        <v>0</v>
      </c>
      <c r="Y803" s="30">
        <v>0</v>
      </c>
      <c r="Z803" s="29">
        <v>0</v>
      </c>
      <c r="AA803" s="30">
        <v>0</v>
      </c>
      <c r="AB803" s="29">
        <v>0</v>
      </c>
      <c r="AC803" s="29">
        <v>0</v>
      </c>
      <c r="AD803" s="29">
        <v>2000</v>
      </c>
      <c r="AE803" s="29">
        <v>1</v>
      </c>
      <c r="AF803" s="29">
        <v>0</v>
      </c>
      <c r="AG803" s="29">
        <v>0</v>
      </c>
      <c r="AH803" s="2" t="e">
        <v>#N/A</v>
      </c>
      <c r="AI803" s="2" t="e">
        <v>#N/A</v>
      </c>
      <c r="AJ803" s="2" t="s">
        <v>5</v>
      </c>
      <c r="AK803" s="2" t="s">
        <v>5</v>
      </c>
    </row>
    <row r="804" spans="3:37" ht="12.5">
      <c r="C804" s="2" t="str">
        <f ca="1"/>
        <v/>
      </c>
      <c r="D804" s="2" t="str">
        <v/>
      </c>
      <c r="E804" s="29" t="str">
        <v/>
      </c>
      <c r="F804" s="30" t="str">
        <v/>
      </c>
      <c r="G804" s="29" t="str">
        <v/>
      </c>
      <c r="H804" s="30" t="str">
        <v/>
      </c>
      <c r="I804" s="29" t="str">
        <v/>
      </c>
      <c r="J804" s="29" t="str">
        <v/>
      </c>
      <c r="K804" s="29" t="str">
        <v/>
      </c>
      <c r="L804" s="29" t="str">
        <v/>
      </c>
      <c r="M804" s="29" t="str">
        <v/>
      </c>
      <c r="N804" s="29" t="str">
        <v/>
      </c>
      <c r="O804" s="2" t="str">
        <f ca="1"/>
        <v/>
      </c>
      <c r="P804" s="2" t="str">
        <f ca="1"/>
        <v/>
      </c>
      <c r="Q804" s="2" t="s">
        <v>5</v>
      </c>
      <c r="R804" s="2" t="s">
        <v>5</v>
      </c>
      <c r="U804" s="2" t="s">
        <v>629</v>
      </c>
      <c r="V804" s="2" t="e">
        <v>#N/A</v>
      </c>
      <c r="W804" s="2">
        <v>0</v>
      </c>
      <c r="X804" s="29">
        <v>0</v>
      </c>
      <c r="Y804" s="30">
        <v>0</v>
      </c>
      <c r="Z804" s="29">
        <v>0</v>
      </c>
      <c r="AA804" s="30">
        <v>0</v>
      </c>
      <c r="AB804" s="29">
        <v>0</v>
      </c>
      <c r="AC804" s="29">
        <v>0</v>
      </c>
      <c r="AD804" s="29">
        <v>2000</v>
      </c>
      <c r="AE804" s="29">
        <v>1</v>
      </c>
      <c r="AF804" s="29">
        <v>0</v>
      </c>
      <c r="AG804" s="29">
        <v>0</v>
      </c>
      <c r="AH804" s="2" t="e">
        <v>#N/A</v>
      </c>
      <c r="AI804" s="2" t="e">
        <v>#N/A</v>
      </c>
      <c r="AJ804" s="2" t="s">
        <v>5</v>
      </c>
      <c r="AK804" s="2" t="s">
        <v>5</v>
      </c>
    </row>
    <row r="805" spans="3:37" ht="12.5">
      <c r="C805" s="2" t="str">
        <f ca="1"/>
        <v/>
      </c>
      <c r="D805" s="2" t="str">
        <v/>
      </c>
      <c r="E805" s="29" t="str">
        <v/>
      </c>
      <c r="F805" s="30" t="str">
        <v/>
      </c>
      <c r="G805" s="29" t="str">
        <v/>
      </c>
      <c r="H805" s="30" t="str">
        <v/>
      </c>
      <c r="I805" s="29" t="str">
        <v/>
      </c>
      <c r="J805" s="29" t="str">
        <v/>
      </c>
      <c r="K805" s="29" t="str">
        <v/>
      </c>
      <c r="L805" s="29" t="str">
        <v/>
      </c>
      <c r="M805" s="29" t="str">
        <v/>
      </c>
      <c r="N805" s="29" t="str">
        <v/>
      </c>
      <c r="O805" s="2" t="str">
        <f ca="1"/>
        <v/>
      </c>
      <c r="P805" s="2" t="str">
        <f ca="1"/>
        <v/>
      </c>
      <c r="Q805" s="2" t="s">
        <v>5</v>
      </c>
      <c r="R805" s="2" t="s">
        <v>5</v>
      </c>
      <c r="U805" s="2" t="s">
        <v>633</v>
      </c>
      <c r="V805" s="2" t="e">
        <v>#N/A</v>
      </c>
      <c r="W805" s="2">
        <v>0</v>
      </c>
      <c r="X805" s="29">
        <v>0</v>
      </c>
      <c r="Y805" s="30">
        <v>0</v>
      </c>
      <c r="Z805" s="29">
        <v>0</v>
      </c>
      <c r="AA805" s="30">
        <v>0</v>
      </c>
      <c r="AB805" s="29">
        <v>0</v>
      </c>
      <c r="AC805" s="29">
        <v>0</v>
      </c>
      <c r="AD805" s="29">
        <v>2000</v>
      </c>
      <c r="AE805" s="29">
        <v>1</v>
      </c>
      <c r="AF805" s="29">
        <v>0</v>
      </c>
      <c r="AG805" s="29">
        <v>0</v>
      </c>
      <c r="AH805" s="2" t="e">
        <v>#N/A</v>
      </c>
      <c r="AI805" s="2" t="e">
        <v>#N/A</v>
      </c>
      <c r="AJ805" s="2" t="s">
        <v>5</v>
      </c>
      <c r="AK805" s="2" t="s">
        <v>5</v>
      </c>
    </row>
    <row r="806" spans="3:37" ht="12.5">
      <c r="C806" s="2" t="str">
        <f ca="1"/>
        <v/>
      </c>
      <c r="D806" s="2" t="str">
        <v/>
      </c>
      <c r="E806" s="29" t="str">
        <v/>
      </c>
      <c r="F806" s="30" t="str">
        <v/>
      </c>
      <c r="G806" s="29" t="str">
        <v/>
      </c>
      <c r="H806" s="30" t="str">
        <v/>
      </c>
      <c r="I806" s="29" t="str">
        <v/>
      </c>
      <c r="J806" s="29" t="str">
        <v/>
      </c>
      <c r="K806" s="29" t="str">
        <v/>
      </c>
      <c r="L806" s="29" t="str">
        <v/>
      </c>
      <c r="M806" s="29" t="str">
        <v/>
      </c>
      <c r="N806" s="29" t="str">
        <v/>
      </c>
      <c r="O806" s="2" t="str">
        <f ca="1"/>
        <v/>
      </c>
      <c r="P806" s="2" t="str">
        <f ca="1"/>
        <v/>
      </c>
      <c r="Q806" s="2" t="s">
        <v>5</v>
      </c>
      <c r="R806" s="2" t="s">
        <v>5</v>
      </c>
      <c r="U806" s="2" t="s">
        <v>646</v>
      </c>
      <c r="V806" s="2" t="e">
        <v>#N/A</v>
      </c>
      <c r="W806" s="2">
        <v>0</v>
      </c>
      <c r="X806" s="29">
        <v>0</v>
      </c>
      <c r="Y806" s="30">
        <v>0</v>
      </c>
      <c r="Z806" s="29">
        <v>0</v>
      </c>
      <c r="AA806" s="30">
        <v>0</v>
      </c>
      <c r="AB806" s="29">
        <v>0</v>
      </c>
      <c r="AC806" s="29">
        <v>0</v>
      </c>
      <c r="AD806" s="29">
        <v>2000</v>
      </c>
      <c r="AE806" s="29">
        <v>1</v>
      </c>
      <c r="AF806" s="29">
        <v>0</v>
      </c>
      <c r="AG806" s="29">
        <v>0</v>
      </c>
      <c r="AH806" s="2" t="e">
        <v>#N/A</v>
      </c>
      <c r="AI806" s="2" t="e">
        <v>#N/A</v>
      </c>
      <c r="AJ806" s="2" t="s">
        <v>5</v>
      </c>
      <c r="AK806" s="2" t="s">
        <v>5</v>
      </c>
    </row>
    <row r="807" spans="3:37" ht="12.5">
      <c r="C807" s="2" t="str">
        <f ca="1"/>
        <v/>
      </c>
      <c r="D807" s="2" t="str">
        <v/>
      </c>
      <c r="E807" s="29" t="str">
        <v/>
      </c>
      <c r="F807" s="30" t="str">
        <v/>
      </c>
      <c r="G807" s="29" t="str">
        <v/>
      </c>
      <c r="H807" s="30" t="str">
        <v/>
      </c>
      <c r="I807" s="29" t="str">
        <v/>
      </c>
      <c r="J807" s="29" t="str">
        <v/>
      </c>
      <c r="K807" s="29" t="str">
        <v/>
      </c>
      <c r="L807" s="29" t="str">
        <v/>
      </c>
      <c r="M807" s="29" t="str">
        <v/>
      </c>
      <c r="N807" s="29" t="str">
        <v/>
      </c>
      <c r="O807" s="2" t="str">
        <f ca="1"/>
        <v/>
      </c>
      <c r="P807" s="2" t="str">
        <f ca="1"/>
        <v/>
      </c>
      <c r="Q807" s="2" t="s">
        <v>5</v>
      </c>
      <c r="R807" s="2" t="s">
        <v>5</v>
      </c>
      <c r="U807" s="2" t="s">
        <v>649</v>
      </c>
      <c r="V807" s="2" t="e">
        <v>#N/A</v>
      </c>
      <c r="W807" s="2">
        <v>0</v>
      </c>
      <c r="X807" s="29">
        <v>0</v>
      </c>
      <c r="Y807" s="30">
        <v>0</v>
      </c>
      <c r="Z807" s="29">
        <v>0</v>
      </c>
      <c r="AA807" s="30">
        <v>0</v>
      </c>
      <c r="AB807" s="29">
        <v>0</v>
      </c>
      <c r="AC807" s="29">
        <v>0</v>
      </c>
      <c r="AD807" s="29">
        <v>2000</v>
      </c>
      <c r="AE807" s="29">
        <v>1</v>
      </c>
      <c r="AF807" s="29">
        <v>0</v>
      </c>
      <c r="AG807" s="29">
        <v>0</v>
      </c>
      <c r="AH807" s="2" t="e">
        <v>#N/A</v>
      </c>
      <c r="AI807" s="2" t="e">
        <v>#N/A</v>
      </c>
      <c r="AJ807" s="2" t="s">
        <v>5</v>
      </c>
      <c r="AK807" s="2" t="s">
        <v>5</v>
      </c>
    </row>
    <row r="808" spans="3:37" ht="12.5">
      <c r="C808" s="2" t="str">
        <f ca="1"/>
        <v/>
      </c>
      <c r="D808" s="2" t="str">
        <v/>
      </c>
      <c r="E808" s="29" t="str">
        <v/>
      </c>
      <c r="F808" s="30" t="str">
        <v/>
      </c>
      <c r="G808" s="29" t="str">
        <v/>
      </c>
      <c r="H808" s="30" t="str">
        <v/>
      </c>
      <c r="I808" s="29" t="str">
        <v/>
      </c>
      <c r="J808" s="29" t="str">
        <v/>
      </c>
      <c r="K808" s="29" t="str">
        <v/>
      </c>
      <c r="L808" s="29" t="str">
        <v/>
      </c>
      <c r="M808" s="29" t="str">
        <v/>
      </c>
      <c r="N808" s="29" t="str">
        <v/>
      </c>
      <c r="O808" s="2" t="str">
        <f ca="1"/>
        <v/>
      </c>
      <c r="P808" s="2" t="str">
        <f ca="1"/>
        <v/>
      </c>
      <c r="Q808" s="2" t="s">
        <v>5</v>
      </c>
      <c r="R808" s="2" t="s">
        <v>5</v>
      </c>
      <c r="U808" s="2" t="s">
        <v>652</v>
      </c>
      <c r="V808" s="2" t="e">
        <v>#N/A</v>
      </c>
      <c r="W808" s="2">
        <v>0</v>
      </c>
      <c r="X808" s="29">
        <v>0</v>
      </c>
      <c r="Y808" s="30">
        <v>0</v>
      </c>
      <c r="Z808" s="29">
        <v>0</v>
      </c>
      <c r="AA808" s="30">
        <v>0</v>
      </c>
      <c r="AB808" s="29">
        <v>0</v>
      </c>
      <c r="AC808" s="29">
        <v>0</v>
      </c>
      <c r="AD808" s="29">
        <v>4000</v>
      </c>
      <c r="AE808" s="29">
        <v>2</v>
      </c>
      <c r="AF808" s="29">
        <v>0</v>
      </c>
      <c r="AG808" s="29">
        <v>0</v>
      </c>
      <c r="AH808" s="2" t="e">
        <v>#N/A</v>
      </c>
      <c r="AI808" s="2" t="e">
        <v>#N/A</v>
      </c>
      <c r="AJ808" s="2" t="s">
        <v>5</v>
      </c>
      <c r="AK808" s="2" t="s">
        <v>5</v>
      </c>
    </row>
    <row r="809" spans="3:37" ht="12.5">
      <c r="C809" s="2" t="str">
        <f ca="1"/>
        <v/>
      </c>
      <c r="D809" s="2" t="str">
        <v/>
      </c>
      <c r="E809" s="29" t="str">
        <v/>
      </c>
      <c r="F809" s="30" t="str">
        <v/>
      </c>
      <c r="G809" s="29" t="str">
        <v/>
      </c>
      <c r="H809" s="30" t="str">
        <v/>
      </c>
      <c r="I809" s="29" t="str">
        <v/>
      </c>
      <c r="J809" s="29" t="str">
        <v/>
      </c>
      <c r="K809" s="29" t="str">
        <v/>
      </c>
      <c r="L809" s="29" t="str">
        <v/>
      </c>
      <c r="M809" s="29" t="str">
        <v/>
      </c>
      <c r="N809" s="29" t="str">
        <v/>
      </c>
      <c r="O809" s="2" t="str">
        <f ca="1"/>
        <v/>
      </c>
      <c r="P809" s="2" t="str">
        <f ca="1"/>
        <v/>
      </c>
      <c r="Q809" s="2" t="s">
        <v>5</v>
      </c>
      <c r="R809" s="2" t="s">
        <v>5</v>
      </c>
      <c r="U809" s="2" t="s">
        <v>654</v>
      </c>
      <c r="V809" s="2" t="e">
        <v>#N/A</v>
      </c>
      <c r="W809" s="2">
        <v>0</v>
      </c>
      <c r="X809" s="29">
        <v>0</v>
      </c>
      <c r="Y809" s="30">
        <v>0</v>
      </c>
      <c r="Z809" s="29">
        <v>0</v>
      </c>
      <c r="AA809" s="30">
        <v>0</v>
      </c>
      <c r="AB809" s="29">
        <v>0</v>
      </c>
      <c r="AC809" s="29">
        <v>0</v>
      </c>
      <c r="AD809" s="29">
        <v>2000</v>
      </c>
      <c r="AE809" s="29">
        <v>1</v>
      </c>
      <c r="AF809" s="29">
        <v>0</v>
      </c>
      <c r="AG809" s="29">
        <v>0</v>
      </c>
      <c r="AH809" s="2" t="e">
        <v>#N/A</v>
      </c>
      <c r="AI809" s="2" t="e">
        <v>#N/A</v>
      </c>
      <c r="AJ809" s="2" t="s">
        <v>5</v>
      </c>
      <c r="AK809" s="2" t="s">
        <v>5</v>
      </c>
    </row>
    <row r="810" spans="3:37" ht="12.5">
      <c r="C810" s="2" t="str">
        <f ca="1"/>
        <v/>
      </c>
      <c r="D810" s="2" t="str">
        <v/>
      </c>
      <c r="E810" s="29" t="str">
        <v/>
      </c>
      <c r="F810" s="30" t="str">
        <v/>
      </c>
      <c r="G810" s="29" t="str">
        <v/>
      </c>
      <c r="H810" s="30" t="str">
        <v/>
      </c>
      <c r="I810" s="29" t="str">
        <v/>
      </c>
      <c r="J810" s="29" t="str">
        <v/>
      </c>
      <c r="K810" s="29" t="str">
        <v/>
      </c>
      <c r="L810" s="29" t="str">
        <v/>
      </c>
      <c r="M810" s="29" t="str">
        <v/>
      </c>
      <c r="N810" s="29" t="str">
        <v/>
      </c>
      <c r="O810" s="2" t="str">
        <f ca="1"/>
        <v/>
      </c>
      <c r="P810" s="2" t="str">
        <f ca="1"/>
        <v/>
      </c>
      <c r="Q810" s="2" t="s">
        <v>5</v>
      </c>
      <c r="R810" s="2" t="s">
        <v>5</v>
      </c>
      <c r="U810" s="2" t="s">
        <v>655</v>
      </c>
      <c r="V810" s="2" t="e">
        <v>#N/A</v>
      </c>
      <c r="W810" s="2">
        <v>0</v>
      </c>
      <c r="X810" s="29">
        <v>0</v>
      </c>
      <c r="Y810" s="30">
        <v>0</v>
      </c>
      <c r="Z810" s="29">
        <v>0</v>
      </c>
      <c r="AA810" s="30">
        <v>0</v>
      </c>
      <c r="AB810" s="29">
        <v>0</v>
      </c>
      <c r="AC810" s="29">
        <v>0</v>
      </c>
      <c r="AD810" s="29">
        <v>2000</v>
      </c>
      <c r="AE810" s="29">
        <v>1</v>
      </c>
      <c r="AF810" s="29">
        <v>0</v>
      </c>
      <c r="AG810" s="29">
        <v>0</v>
      </c>
      <c r="AH810" s="2" t="e">
        <v>#N/A</v>
      </c>
      <c r="AI810" s="2" t="e">
        <v>#N/A</v>
      </c>
      <c r="AJ810" s="2" t="s">
        <v>5</v>
      </c>
      <c r="AK810" s="2" t="s">
        <v>5</v>
      </c>
    </row>
    <row r="811" spans="3:37" ht="12.5">
      <c r="C811" s="2" t="str">
        <f ca="1"/>
        <v/>
      </c>
      <c r="D811" s="2" t="str">
        <v/>
      </c>
      <c r="E811" s="29" t="str">
        <v/>
      </c>
      <c r="F811" s="30" t="str">
        <v/>
      </c>
      <c r="G811" s="29" t="str">
        <v/>
      </c>
      <c r="H811" s="30" t="str">
        <v/>
      </c>
      <c r="I811" s="29" t="str">
        <v/>
      </c>
      <c r="J811" s="29" t="str">
        <v/>
      </c>
      <c r="K811" s="29" t="str">
        <v/>
      </c>
      <c r="L811" s="29" t="str">
        <v/>
      </c>
      <c r="M811" s="29" t="str">
        <v/>
      </c>
      <c r="N811" s="29" t="str">
        <v/>
      </c>
      <c r="O811" s="2" t="str">
        <f ca="1"/>
        <v/>
      </c>
      <c r="P811" s="2" t="str">
        <f ca="1"/>
        <v/>
      </c>
      <c r="Q811" s="2" t="s">
        <v>5</v>
      </c>
      <c r="R811" s="2" t="s">
        <v>5</v>
      </c>
      <c r="U811" s="2" t="s">
        <v>656</v>
      </c>
      <c r="V811" s="2" t="e">
        <v>#N/A</v>
      </c>
      <c r="W811" s="2">
        <v>0</v>
      </c>
      <c r="X811" s="29">
        <v>0</v>
      </c>
      <c r="Y811" s="30">
        <v>0</v>
      </c>
      <c r="Z811" s="29">
        <v>0</v>
      </c>
      <c r="AA811" s="30">
        <v>0</v>
      </c>
      <c r="AB811" s="29">
        <v>0</v>
      </c>
      <c r="AC811" s="29">
        <v>0</v>
      </c>
      <c r="AD811" s="29">
        <v>6000</v>
      </c>
      <c r="AE811" s="29">
        <v>3</v>
      </c>
      <c r="AF811" s="29">
        <v>0</v>
      </c>
      <c r="AG811" s="29">
        <v>0</v>
      </c>
      <c r="AH811" s="2" t="e">
        <v>#N/A</v>
      </c>
      <c r="AI811" s="2" t="e">
        <v>#N/A</v>
      </c>
      <c r="AJ811" s="2" t="s">
        <v>5</v>
      </c>
      <c r="AK811" s="2" t="s">
        <v>5</v>
      </c>
    </row>
    <row r="812" spans="3:37" ht="12.5">
      <c r="C812" s="2" t="str">
        <f ca="1"/>
        <v/>
      </c>
      <c r="D812" s="2" t="str">
        <v/>
      </c>
      <c r="E812" s="29" t="str">
        <v/>
      </c>
      <c r="F812" s="30" t="str">
        <v/>
      </c>
      <c r="G812" s="29" t="str">
        <v/>
      </c>
      <c r="H812" s="30" t="str">
        <v/>
      </c>
      <c r="I812" s="29" t="str">
        <v/>
      </c>
      <c r="J812" s="29" t="str">
        <v/>
      </c>
      <c r="K812" s="29" t="str">
        <v/>
      </c>
      <c r="L812" s="29" t="str">
        <v/>
      </c>
      <c r="M812" s="29" t="str">
        <v/>
      </c>
      <c r="N812" s="29" t="str">
        <v/>
      </c>
      <c r="O812" s="2" t="str">
        <f ca="1"/>
        <v/>
      </c>
      <c r="P812" s="2" t="str">
        <f ca="1"/>
        <v/>
      </c>
      <c r="Q812" s="2" t="s">
        <v>5</v>
      </c>
      <c r="R812" s="2" t="s">
        <v>5</v>
      </c>
      <c r="U812" s="2" t="s">
        <v>426</v>
      </c>
      <c r="V812" s="2" t="e">
        <v>#N/A</v>
      </c>
      <c r="W812" s="2">
        <v>0</v>
      </c>
      <c r="X812" s="29">
        <v>0</v>
      </c>
      <c r="Y812" s="30">
        <v>0</v>
      </c>
      <c r="Z812" s="29">
        <v>0</v>
      </c>
      <c r="AA812" s="30">
        <v>0</v>
      </c>
      <c r="AB812" s="29">
        <v>0</v>
      </c>
      <c r="AC812" s="29">
        <v>0</v>
      </c>
      <c r="AD812" s="29">
        <v>2000</v>
      </c>
      <c r="AE812" s="29">
        <v>1</v>
      </c>
      <c r="AF812" s="29">
        <v>0</v>
      </c>
      <c r="AG812" s="29">
        <v>0</v>
      </c>
      <c r="AH812" s="2" t="e">
        <v>#N/A</v>
      </c>
      <c r="AI812" s="2" t="e">
        <v>#N/A</v>
      </c>
      <c r="AJ812" s="2" t="s">
        <v>5</v>
      </c>
      <c r="AK812" s="2" t="s">
        <v>5</v>
      </c>
    </row>
    <row r="813" spans="3:37" ht="12.5">
      <c r="C813" s="2" t="str">
        <f ca="1"/>
        <v/>
      </c>
      <c r="D813" s="2" t="str">
        <v/>
      </c>
      <c r="E813" s="29" t="str">
        <v/>
      </c>
      <c r="F813" s="30" t="str">
        <v/>
      </c>
      <c r="G813" s="29" t="str">
        <v/>
      </c>
      <c r="H813" s="30" t="str">
        <v/>
      </c>
      <c r="I813" s="29" t="str">
        <v/>
      </c>
      <c r="J813" s="29" t="str">
        <v/>
      </c>
      <c r="K813" s="29" t="str">
        <v/>
      </c>
      <c r="L813" s="29" t="str">
        <v/>
      </c>
      <c r="M813" s="29" t="str">
        <v/>
      </c>
      <c r="N813" s="29" t="str">
        <v/>
      </c>
      <c r="O813" s="2" t="str">
        <f ca="1"/>
        <v/>
      </c>
      <c r="P813" s="2" t="str">
        <f ca="1"/>
        <v/>
      </c>
      <c r="Q813" s="2" t="s">
        <v>5</v>
      </c>
      <c r="R813" s="2" t="s">
        <v>5</v>
      </c>
      <c r="U813" s="2" t="s">
        <v>434</v>
      </c>
      <c r="V813" s="2" t="e">
        <v>#N/A</v>
      </c>
      <c r="W813" s="2">
        <v>0</v>
      </c>
      <c r="X813" s="29">
        <v>0</v>
      </c>
      <c r="Y813" s="30">
        <v>0</v>
      </c>
      <c r="Z813" s="29">
        <v>0</v>
      </c>
      <c r="AA813" s="30">
        <v>0</v>
      </c>
      <c r="AB813" s="29">
        <v>0</v>
      </c>
      <c r="AC813" s="29">
        <v>0</v>
      </c>
      <c r="AD813" s="29">
        <v>2000</v>
      </c>
      <c r="AE813" s="29">
        <v>1</v>
      </c>
      <c r="AF813" s="29">
        <v>0</v>
      </c>
      <c r="AG813" s="29">
        <v>0</v>
      </c>
      <c r="AH813" s="2" t="e">
        <v>#N/A</v>
      </c>
      <c r="AI813" s="2" t="e">
        <v>#N/A</v>
      </c>
      <c r="AJ813" s="2" t="s">
        <v>5</v>
      </c>
      <c r="AK813" s="2" t="s">
        <v>5</v>
      </c>
    </row>
    <row r="814" spans="3:37" ht="12.5">
      <c r="C814" s="2" t="str">
        <f ca="1"/>
        <v/>
      </c>
      <c r="D814" s="2" t="str">
        <v/>
      </c>
      <c r="E814" s="29" t="str">
        <v/>
      </c>
      <c r="F814" s="30" t="str">
        <v/>
      </c>
      <c r="G814" s="29" t="str">
        <v/>
      </c>
      <c r="H814" s="30" t="str">
        <v/>
      </c>
      <c r="I814" s="29" t="str">
        <v/>
      </c>
      <c r="J814" s="29" t="str">
        <v/>
      </c>
      <c r="K814" s="29" t="str">
        <v/>
      </c>
      <c r="L814" s="29" t="str">
        <v/>
      </c>
      <c r="M814" s="29" t="str">
        <v/>
      </c>
      <c r="N814" s="29" t="str">
        <v/>
      </c>
      <c r="O814" s="2" t="str">
        <f ca="1"/>
        <v/>
      </c>
      <c r="P814" s="2" t="str">
        <f ca="1"/>
        <v/>
      </c>
      <c r="Q814" s="2" t="s">
        <v>5</v>
      </c>
      <c r="R814" s="2" t="s">
        <v>5</v>
      </c>
      <c r="U814" s="2" t="s">
        <v>436</v>
      </c>
      <c r="V814" s="2" t="e">
        <v>#N/A</v>
      </c>
      <c r="W814" s="2">
        <v>0</v>
      </c>
      <c r="X814" s="29">
        <v>0</v>
      </c>
      <c r="Y814" s="30">
        <v>0</v>
      </c>
      <c r="Z814" s="29">
        <v>0</v>
      </c>
      <c r="AA814" s="30">
        <v>0</v>
      </c>
      <c r="AB814" s="29">
        <v>0</v>
      </c>
      <c r="AC814" s="29">
        <v>0</v>
      </c>
      <c r="AD814" s="29">
        <v>6000</v>
      </c>
      <c r="AE814" s="29">
        <v>3</v>
      </c>
      <c r="AF814" s="29">
        <v>0</v>
      </c>
      <c r="AG814" s="29">
        <v>0</v>
      </c>
      <c r="AH814" s="2" t="e">
        <v>#N/A</v>
      </c>
      <c r="AI814" s="2" t="e">
        <v>#N/A</v>
      </c>
      <c r="AJ814" s="2" t="s">
        <v>5</v>
      </c>
      <c r="AK814" s="2" t="s">
        <v>5</v>
      </c>
    </row>
    <row r="815" spans="3:37" ht="12.5">
      <c r="C815" s="2" t="str">
        <f ca="1"/>
        <v/>
      </c>
      <c r="D815" s="2" t="str">
        <v/>
      </c>
      <c r="E815" s="29" t="str">
        <v/>
      </c>
      <c r="F815" s="30" t="str">
        <v/>
      </c>
      <c r="G815" s="29" t="str">
        <v/>
      </c>
      <c r="H815" s="30" t="str">
        <v/>
      </c>
      <c r="I815" s="29" t="str">
        <v/>
      </c>
      <c r="J815" s="29" t="str">
        <v/>
      </c>
      <c r="K815" s="29" t="str">
        <v/>
      </c>
      <c r="L815" s="29" t="str">
        <v/>
      </c>
      <c r="M815" s="29" t="str">
        <v/>
      </c>
      <c r="N815" s="29" t="str">
        <v/>
      </c>
      <c r="O815" s="2" t="str">
        <f ca="1"/>
        <v/>
      </c>
      <c r="P815" s="2" t="str">
        <f ca="1"/>
        <v/>
      </c>
      <c r="Q815" s="2" t="s">
        <v>5</v>
      </c>
      <c r="R815" s="2" t="s">
        <v>5</v>
      </c>
      <c r="U815" s="2" t="s">
        <v>664</v>
      </c>
      <c r="V815" s="2" t="e">
        <v>#N/A</v>
      </c>
      <c r="W815" s="2">
        <v>0</v>
      </c>
      <c r="X815" s="29">
        <v>0</v>
      </c>
      <c r="Y815" s="30">
        <v>0</v>
      </c>
      <c r="Z815" s="29">
        <v>0</v>
      </c>
      <c r="AA815" s="30">
        <v>0</v>
      </c>
      <c r="AB815" s="29">
        <v>0</v>
      </c>
      <c r="AC815" s="29">
        <v>0</v>
      </c>
      <c r="AD815" s="29">
        <v>2000</v>
      </c>
      <c r="AE815" s="29">
        <v>1</v>
      </c>
      <c r="AF815" s="29">
        <v>0</v>
      </c>
      <c r="AG815" s="29">
        <v>0</v>
      </c>
      <c r="AH815" s="2" t="e">
        <v>#N/A</v>
      </c>
      <c r="AI815" s="2" t="e">
        <v>#N/A</v>
      </c>
      <c r="AJ815" s="2" t="s">
        <v>5</v>
      </c>
      <c r="AK815" s="2" t="s">
        <v>5</v>
      </c>
    </row>
    <row r="816" spans="3:37" ht="12.5">
      <c r="C816" s="2" t="str">
        <f ca="1"/>
        <v/>
      </c>
      <c r="D816" s="2" t="str">
        <v/>
      </c>
      <c r="E816" s="29" t="str">
        <v/>
      </c>
      <c r="F816" s="30" t="str">
        <v/>
      </c>
      <c r="G816" s="29" t="str">
        <v/>
      </c>
      <c r="H816" s="30" t="str">
        <v/>
      </c>
      <c r="I816" s="29" t="str">
        <v/>
      </c>
      <c r="J816" s="29" t="str">
        <v/>
      </c>
      <c r="K816" s="29" t="str">
        <v/>
      </c>
      <c r="L816" s="29" t="str">
        <v/>
      </c>
      <c r="M816" s="29" t="str">
        <v/>
      </c>
      <c r="N816" s="29" t="str">
        <v/>
      </c>
      <c r="O816" s="2" t="str">
        <f ca="1"/>
        <v/>
      </c>
      <c r="P816" s="2" t="str">
        <f ca="1"/>
        <v/>
      </c>
      <c r="Q816" s="2" t="s">
        <v>5</v>
      </c>
      <c r="R816" s="2" t="s">
        <v>5</v>
      </c>
      <c r="U816" s="2" t="s">
        <v>675</v>
      </c>
      <c r="V816" s="2" t="e">
        <v>#N/A</v>
      </c>
      <c r="W816" s="2">
        <v>0</v>
      </c>
      <c r="X816" s="29">
        <v>0</v>
      </c>
      <c r="Y816" s="30">
        <v>0</v>
      </c>
      <c r="Z816" s="29">
        <v>0</v>
      </c>
      <c r="AA816" s="30">
        <v>0</v>
      </c>
      <c r="AB816" s="29">
        <v>0</v>
      </c>
      <c r="AC816" s="29">
        <v>0</v>
      </c>
      <c r="AD816" s="29">
        <v>2000</v>
      </c>
      <c r="AE816" s="29">
        <v>1</v>
      </c>
      <c r="AF816" s="29">
        <v>0</v>
      </c>
      <c r="AG816" s="29">
        <v>0</v>
      </c>
      <c r="AH816" s="2" t="e">
        <v>#N/A</v>
      </c>
      <c r="AI816" s="2" t="e">
        <v>#N/A</v>
      </c>
      <c r="AJ816" s="2" t="s">
        <v>5</v>
      </c>
      <c r="AK816" s="2" t="s">
        <v>5</v>
      </c>
    </row>
    <row r="817" spans="3:37" ht="12.5">
      <c r="C817" s="2" t="str">
        <f ca="1"/>
        <v/>
      </c>
      <c r="D817" s="2" t="str">
        <v/>
      </c>
      <c r="E817" s="29" t="str">
        <v/>
      </c>
      <c r="F817" s="30" t="str">
        <v/>
      </c>
      <c r="G817" s="29" t="str">
        <v/>
      </c>
      <c r="H817" s="30" t="str">
        <v/>
      </c>
      <c r="I817" s="29" t="str">
        <v/>
      </c>
      <c r="J817" s="29" t="str">
        <v/>
      </c>
      <c r="K817" s="29" t="str">
        <v/>
      </c>
      <c r="L817" s="29" t="str">
        <v/>
      </c>
      <c r="M817" s="29" t="str">
        <v/>
      </c>
      <c r="N817" s="29" t="str">
        <v/>
      </c>
      <c r="O817" s="2" t="str">
        <f ca="1"/>
        <v/>
      </c>
      <c r="P817" s="2" t="str">
        <f ca="1"/>
        <v/>
      </c>
      <c r="Q817" s="2" t="s">
        <v>5</v>
      </c>
      <c r="R817" s="2" t="s">
        <v>5</v>
      </c>
      <c r="U817" s="2" t="s">
        <v>677</v>
      </c>
      <c r="V817" s="2" t="e">
        <v>#N/A</v>
      </c>
      <c r="W817" s="2">
        <v>0</v>
      </c>
      <c r="X817" s="29">
        <v>0</v>
      </c>
      <c r="Y817" s="30">
        <v>0</v>
      </c>
      <c r="Z817" s="29">
        <v>0</v>
      </c>
      <c r="AA817" s="30">
        <v>0</v>
      </c>
      <c r="AB817" s="29">
        <v>0</v>
      </c>
      <c r="AC817" s="29">
        <v>0</v>
      </c>
      <c r="AD817" s="29">
        <v>2000</v>
      </c>
      <c r="AE817" s="29">
        <v>1</v>
      </c>
      <c r="AF817" s="29">
        <v>0</v>
      </c>
      <c r="AG817" s="29">
        <v>0</v>
      </c>
      <c r="AH817" s="2" t="e">
        <v>#N/A</v>
      </c>
      <c r="AI817" s="2" t="e">
        <v>#N/A</v>
      </c>
      <c r="AJ817" s="2" t="s">
        <v>5</v>
      </c>
      <c r="AK817" s="2" t="s">
        <v>5</v>
      </c>
    </row>
    <row r="818" spans="3:37" ht="12.5">
      <c r="C818" s="2" t="str">
        <f ca="1"/>
        <v/>
      </c>
      <c r="D818" s="2" t="str">
        <v/>
      </c>
      <c r="E818" s="29" t="str">
        <v/>
      </c>
      <c r="F818" s="30" t="str">
        <v/>
      </c>
      <c r="G818" s="29" t="str">
        <v/>
      </c>
      <c r="H818" s="30" t="str">
        <v/>
      </c>
      <c r="I818" s="29" t="str">
        <v/>
      </c>
      <c r="J818" s="29" t="str">
        <v/>
      </c>
      <c r="K818" s="29" t="str">
        <v/>
      </c>
      <c r="L818" s="29" t="str">
        <v/>
      </c>
      <c r="M818" s="29" t="str">
        <v/>
      </c>
      <c r="N818" s="29" t="str">
        <v/>
      </c>
      <c r="O818" s="2" t="str">
        <f ca="1"/>
        <v/>
      </c>
      <c r="P818" s="2" t="str">
        <f ca="1"/>
        <v/>
      </c>
      <c r="Q818" s="2" t="s">
        <v>5</v>
      </c>
      <c r="R818" s="2" t="s">
        <v>5</v>
      </c>
      <c r="U818" s="2" t="s">
        <v>680</v>
      </c>
      <c r="V818" s="2" t="e">
        <v>#N/A</v>
      </c>
      <c r="W818" s="2">
        <v>0</v>
      </c>
      <c r="X818" s="29">
        <v>0</v>
      </c>
      <c r="Y818" s="30">
        <v>0</v>
      </c>
      <c r="Z818" s="29">
        <v>0</v>
      </c>
      <c r="AA818" s="30">
        <v>0</v>
      </c>
      <c r="AB818" s="29">
        <v>0</v>
      </c>
      <c r="AC818" s="29">
        <v>0</v>
      </c>
      <c r="AD818" s="29">
        <v>2000</v>
      </c>
      <c r="AE818" s="29">
        <v>1</v>
      </c>
      <c r="AF818" s="29">
        <v>0</v>
      </c>
      <c r="AG818" s="29">
        <v>0</v>
      </c>
      <c r="AH818" s="2" t="e">
        <v>#N/A</v>
      </c>
      <c r="AI818" s="2" t="e">
        <v>#N/A</v>
      </c>
      <c r="AJ818" s="2" t="s">
        <v>5</v>
      </c>
      <c r="AK818" s="2" t="s">
        <v>5</v>
      </c>
    </row>
    <row r="819" spans="3:37" ht="12.5">
      <c r="C819" s="2" t="str">
        <f ca="1"/>
        <v/>
      </c>
      <c r="D819" s="2" t="str">
        <v/>
      </c>
      <c r="E819" s="29" t="str">
        <v/>
      </c>
      <c r="F819" s="30" t="str">
        <v/>
      </c>
      <c r="G819" s="29" t="str">
        <v/>
      </c>
      <c r="H819" s="30" t="str">
        <v/>
      </c>
      <c r="I819" s="29" t="str">
        <v/>
      </c>
      <c r="J819" s="29" t="str">
        <v/>
      </c>
      <c r="K819" s="29" t="str">
        <v/>
      </c>
      <c r="L819" s="29" t="str">
        <v/>
      </c>
      <c r="M819" s="29" t="str">
        <v/>
      </c>
      <c r="N819" s="29" t="str">
        <v/>
      </c>
      <c r="O819" s="2" t="str">
        <f ca="1"/>
        <v/>
      </c>
      <c r="P819" s="2" t="str">
        <f ca="1"/>
        <v/>
      </c>
      <c r="Q819" s="2" t="s">
        <v>5</v>
      </c>
      <c r="R819" s="2" t="s">
        <v>5</v>
      </c>
      <c r="U819" s="2" t="s">
        <v>681</v>
      </c>
      <c r="V819" s="2" t="e">
        <v>#N/A</v>
      </c>
      <c r="W819" s="2">
        <v>0</v>
      </c>
      <c r="X819" s="29">
        <v>0</v>
      </c>
      <c r="Y819" s="30">
        <v>0</v>
      </c>
      <c r="Z819" s="29">
        <v>0</v>
      </c>
      <c r="AA819" s="30">
        <v>0</v>
      </c>
      <c r="AB819" s="29">
        <v>0</v>
      </c>
      <c r="AC819" s="29">
        <v>0</v>
      </c>
      <c r="AD819" s="29">
        <v>4000</v>
      </c>
      <c r="AE819" s="29">
        <v>2</v>
      </c>
      <c r="AF819" s="29">
        <v>0</v>
      </c>
      <c r="AG819" s="29">
        <v>0</v>
      </c>
      <c r="AH819" s="2" t="e">
        <v>#N/A</v>
      </c>
      <c r="AI819" s="2" t="e">
        <v>#N/A</v>
      </c>
      <c r="AJ819" s="2" t="s">
        <v>5</v>
      </c>
      <c r="AK819" s="2" t="s">
        <v>5</v>
      </c>
    </row>
    <row r="820" spans="3:37" ht="12.5">
      <c r="C820" s="2" t="str">
        <f ca="1"/>
        <v/>
      </c>
      <c r="D820" s="2" t="str">
        <v/>
      </c>
      <c r="E820" s="29" t="str">
        <v/>
      </c>
      <c r="F820" s="30" t="str">
        <v/>
      </c>
      <c r="G820" s="29" t="str">
        <v/>
      </c>
      <c r="H820" s="30" t="str">
        <v/>
      </c>
      <c r="I820" s="29" t="str">
        <v/>
      </c>
      <c r="J820" s="29" t="str">
        <v/>
      </c>
      <c r="K820" s="29" t="str">
        <v/>
      </c>
      <c r="L820" s="29" t="str">
        <v/>
      </c>
      <c r="M820" s="29" t="str">
        <v/>
      </c>
      <c r="N820" s="29" t="str">
        <v/>
      </c>
      <c r="O820" s="2" t="str">
        <f ca="1"/>
        <v/>
      </c>
      <c r="P820" s="2" t="str">
        <f ca="1"/>
        <v/>
      </c>
      <c r="Q820" s="2" t="s">
        <v>5</v>
      </c>
      <c r="R820" s="2" t="s">
        <v>5</v>
      </c>
      <c r="U820" s="2" t="s">
        <v>684</v>
      </c>
      <c r="V820" s="2" t="e">
        <v>#N/A</v>
      </c>
      <c r="W820" s="2">
        <v>0</v>
      </c>
      <c r="X820" s="29">
        <v>0</v>
      </c>
      <c r="Y820" s="30">
        <v>0</v>
      </c>
      <c r="Z820" s="29">
        <v>0</v>
      </c>
      <c r="AA820" s="30">
        <v>0</v>
      </c>
      <c r="AB820" s="29">
        <v>0</v>
      </c>
      <c r="AC820" s="29">
        <v>0</v>
      </c>
      <c r="AD820" s="29">
        <v>2000</v>
      </c>
      <c r="AE820" s="29">
        <v>1</v>
      </c>
      <c r="AF820" s="29">
        <v>0</v>
      </c>
      <c r="AG820" s="29">
        <v>0</v>
      </c>
      <c r="AH820" s="2" t="e">
        <v>#N/A</v>
      </c>
      <c r="AI820" s="2" t="e">
        <v>#N/A</v>
      </c>
      <c r="AJ820" s="2" t="s">
        <v>5</v>
      </c>
      <c r="AK820" s="2" t="s">
        <v>5</v>
      </c>
    </row>
    <row r="821" spans="3:37" ht="12.5">
      <c r="C821" s="2" t="str">
        <f ca="1"/>
        <v/>
      </c>
      <c r="D821" s="2" t="str">
        <v/>
      </c>
      <c r="E821" s="29" t="str">
        <v/>
      </c>
      <c r="F821" s="30" t="str">
        <v/>
      </c>
      <c r="G821" s="29" t="str">
        <v/>
      </c>
      <c r="H821" s="30" t="str">
        <v/>
      </c>
      <c r="I821" s="29" t="str">
        <v/>
      </c>
      <c r="J821" s="29" t="str">
        <v/>
      </c>
      <c r="K821" s="29" t="str">
        <v/>
      </c>
      <c r="L821" s="29" t="str">
        <v/>
      </c>
      <c r="M821" s="29" t="str">
        <v/>
      </c>
      <c r="N821" s="29" t="str">
        <v/>
      </c>
      <c r="O821" s="2" t="str">
        <f ca="1"/>
        <v/>
      </c>
      <c r="P821" s="2" t="str">
        <f ca="1"/>
        <v/>
      </c>
      <c r="Q821" s="2" t="s">
        <v>5</v>
      </c>
      <c r="R821" s="2" t="s">
        <v>5</v>
      </c>
      <c r="U821" s="2" t="s">
        <v>692</v>
      </c>
      <c r="V821" s="2" t="e">
        <v>#N/A</v>
      </c>
      <c r="W821" s="2">
        <v>0</v>
      </c>
      <c r="X821" s="29">
        <v>0</v>
      </c>
      <c r="Y821" s="30">
        <v>0</v>
      </c>
      <c r="Z821" s="29">
        <v>0</v>
      </c>
      <c r="AA821" s="30">
        <v>0</v>
      </c>
      <c r="AB821" s="29">
        <v>0</v>
      </c>
      <c r="AC821" s="29">
        <v>0</v>
      </c>
      <c r="AD821" s="29">
        <v>4000</v>
      </c>
      <c r="AE821" s="29">
        <v>2</v>
      </c>
      <c r="AF821" s="29">
        <v>0</v>
      </c>
      <c r="AG821" s="29">
        <v>0</v>
      </c>
      <c r="AH821" s="2" t="e">
        <v>#N/A</v>
      </c>
      <c r="AI821" s="2" t="e">
        <v>#N/A</v>
      </c>
      <c r="AJ821" s="2" t="s">
        <v>5</v>
      </c>
      <c r="AK821" s="2" t="s">
        <v>5</v>
      </c>
    </row>
    <row r="822" spans="3:37" ht="12.5">
      <c r="C822" s="2" t="str">
        <f ca="1"/>
        <v/>
      </c>
      <c r="D822" s="2" t="str">
        <v/>
      </c>
      <c r="E822" s="29" t="str">
        <v/>
      </c>
      <c r="F822" s="30" t="str">
        <v/>
      </c>
      <c r="G822" s="29" t="str">
        <v/>
      </c>
      <c r="H822" s="30" t="str">
        <v/>
      </c>
      <c r="I822" s="29" t="str">
        <v/>
      </c>
      <c r="J822" s="29" t="str">
        <v/>
      </c>
      <c r="K822" s="29" t="str">
        <v/>
      </c>
      <c r="L822" s="29" t="str">
        <v/>
      </c>
      <c r="M822" s="29" t="str">
        <v/>
      </c>
      <c r="N822" s="29" t="str">
        <v/>
      </c>
      <c r="O822" s="2" t="str">
        <f ca="1"/>
        <v/>
      </c>
      <c r="P822" s="2" t="str">
        <f ca="1"/>
        <v/>
      </c>
      <c r="Q822" s="2" t="s">
        <v>5</v>
      </c>
      <c r="R822" s="2" t="s">
        <v>5</v>
      </c>
      <c r="U822" s="2" t="s">
        <v>697</v>
      </c>
      <c r="V822" s="2" t="e">
        <v>#N/A</v>
      </c>
      <c r="W822" s="2">
        <v>0</v>
      </c>
      <c r="X822" s="29">
        <v>0</v>
      </c>
      <c r="Y822" s="30">
        <v>0</v>
      </c>
      <c r="Z822" s="29">
        <v>0</v>
      </c>
      <c r="AA822" s="30">
        <v>0</v>
      </c>
      <c r="AB822" s="29">
        <v>0</v>
      </c>
      <c r="AC822" s="29">
        <v>0</v>
      </c>
      <c r="AD822" s="29">
        <v>2000</v>
      </c>
      <c r="AE822" s="29">
        <v>1</v>
      </c>
      <c r="AF822" s="29">
        <v>0</v>
      </c>
      <c r="AG822" s="29">
        <v>0</v>
      </c>
      <c r="AH822" s="2" t="e">
        <v>#N/A</v>
      </c>
      <c r="AI822" s="2" t="e">
        <v>#N/A</v>
      </c>
      <c r="AJ822" s="2" t="s">
        <v>5</v>
      </c>
      <c r="AK822" s="2" t="s">
        <v>5</v>
      </c>
    </row>
    <row r="823" spans="3:37" ht="12.5">
      <c r="C823" s="2" t="str">
        <f ca="1"/>
        <v/>
      </c>
      <c r="D823" s="2" t="str">
        <v/>
      </c>
      <c r="E823" s="29" t="str">
        <v/>
      </c>
      <c r="F823" s="30" t="str">
        <v/>
      </c>
      <c r="G823" s="29" t="str">
        <v/>
      </c>
      <c r="H823" s="30" t="str">
        <v/>
      </c>
      <c r="I823" s="29" t="str">
        <v/>
      </c>
      <c r="J823" s="29" t="str">
        <v/>
      </c>
      <c r="K823" s="29" t="str">
        <v/>
      </c>
      <c r="L823" s="29" t="str">
        <v/>
      </c>
      <c r="M823" s="29" t="str">
        <v/>
      </c>
      <c r="N823" s="29" t="str">
        <v/>
      </c>
      <c r="O823" s="2" t="str">
        <f ca="1"/>
        <v/>
      </c>
      <c r="P823" s="2" t="str">
        <f ca="1"/>
        <v/>
      </c>
      <c r="Q823" s="2" t="s">
        <v>5</v>
      </c>
      <c r="R823" s="2" t="s">
        <v>5</v>
      </c>
      <c r="U823" s="2" t="s">
        <v>698</v>
      </c>
      <c r="V823" s="2" t="e">
        <v>#N/A</v>
      </c>
      <c r="W823" s="2">
        <v>0</v>
      </c>
      <c r="X823" s="29">
        <v>0</v>
      </c>
      <c r="Y823" s="30">
        <v>0</v>
      </c>
      <c r="Z823" s="29">
        <v>0</v>
      </c>
      <c r="AA823" s="30">
        <v>0</v>
      </c>
      <c r="AB823" s="29">
        <v>0</v>
      </c>
      <c r="AC823" s="29">
        <v>0</v>
      </c>
      <c r="AD823" s="29">
        <v>2000</v>
      </c>
      <c r="AE823" s="29">
        <v>1</v>
      </c>
      <c r="AF823" s="29">
        <v>0</v>
      </c>
      <c r="AG823" s="29">
        <v>0</v>
      </c>
      <c r="AH823" s="2" t="e">
        <v>#N/A</v>
      </c>
      <c r="AI823" s="2" t="e">
        <v>#N/A</v>
      </c>
      <c r="AJ823" s="2" t="s">
        <v>5</v>
      </c>
      <c r="AK823" s="2" t="s">
        <v>5</v>
      </c>
    </row>
    <row r="824" spans="3:37" ht="12.5">
      <c r="C824" s="2" t="str">
        <f ca="1"/>
        <v/>
      </c>
      <c r="D824" s="2" t="str">
        <v/>
      </c>
      <c r="E824" s="29" t="str">
        <v/>
      </c>
      <c r="F824" s="30" t="str">
        <v/>
      </c>
      <c r="G824" s="29" t="str">
        <v/>
      </c>
      <c r="H824" s="30" t="str">
        <v/>
      </c>
      <c r="I824" s="29" t="str">
        <v/>
      </c>
      <c r="J824" s="29" t="str">
        <v/>
      </c>
      <c r="K824" s="29" t="str">
        <v/>
      </c>
      <c r="L824" s="29" t="str">
        <v/>
      </c>
      <c r="M824" s="29" t="str">
        <v/>
      </c>
      <c r="N824" s="29" t="str">
        <v/>
      </c>
      <c r="O824" s="2" t="str">
        <f ca="1"/>
        <v/>
      </c>
      <c r="P824" s="2" t="str">
        <f ca="1"/>
        <v/>
      </c>
      <c r="Q824" s="2" t="s">
        <v>5</v>
      </c>
      <c r="R824" s="2" t="s">
        <v>5</v>
      </c>
      <c r="U824" s="2" t="s">
        <v>702</v>
      </c>
      <c r="V824" s="2" t="e">
        <v>#N/A</v>
      </c>
      <c r="W824" s="2">
        <v>0</v>
      </c>
      <c r="X824" s="29">
        <v>0</v>
      </c>
      <c r="Y824" s="30">
        <v>0</v>
      </c>
      <c r="Z824" s="29">
        <v>0</v>
      </c>
      <c r="AA824" s="30">
        <v>0</v>
      </c>
      <c r="AB824" s="29">
        <v>0</v>
      </c>
      <c r="AC824" s="29">
        <v>0</v>
      </c>
      <c r="AD824" s="29">
        <v>2000</v>
      </c>
      <c r="AE824" s="29">
        <v>1</v>
      </c>
      <c r="AF824" s="29">
        <v>0</v>
      </c>
      <c r="AG824" s="29">
        <v>0</v>
      </c>
      <c r="AH824" s="2" t="e">
        <v>#N/A</v>
      </c>
      <c r="AI824" s="2" t="e">
        <v>#N/A</v>
      </c>
      <c r="AJ824" s="2" t="s">
        <v>5</v>
      </c>
      <c r="AK824" s="2" t="s">
        <v>5</v>
      </c>
    </row>
    <row r="825" spans="3:37" ht="12.5">
      <c r="C825" s="2" t="str">
        <f ca="1"/>
        <v/>
      </c>
      <c r="D825" s="2" t="str">
        <v/>
      </c>
      <c r="E825" s="29" t="str">
        <v/>
      </c>
      <c r="F825" s="30" t="str">
        <v/>
      </c>
      <c r="G825" s="29" t="str">
        <v/>
      </c>
      <c r="H825" s="30" t="str">
        <v/>
      </c>
      <c r="I825" s="29" t="str">
        <v/>
      </c>
      <c r="J825" s="29" t="str">
        <v/>
      </c>
      <c r="K825" s="29" t="str">
        <v/>
      </c>
      <c r="L825" s="29" t="str">
        <v/>
      </c>
      <c r="M825" s="29" t="str">
        <v/>
      </c>
      <c r="N825" s="29" t="str">
        <v/>
      </c>
      <c r="O825" s="2" t="str">
        <f ca="1"/>
        <v/>
      </c>
      <c r="P825" s="2" t="str">
        <f ca="1"/>
        <v/>
      </c>
      <c r="Q825" s="2" t="s">
        <v>5</v>
      </c>
      <c r="R825" s="2" t="s">
        <v>5</v>
      </c>
      <c r="U825" s="2" t="s">
        <v>438</v>
      </c>
      <c r="V825" s="2" t="e">
        <v>#N/A</v>
      </c>
      <c r="W825" s="2">
        <v>0</v>
      </c>
      <c r="X825" s="29">
        <v>0</v>
      </c>
      <c r="Y825" s="30">
        <v>0</v>
      </c>
      <c r="Z825" s="29">
        <v>0</v>
      </c>
      <c r="AA825" s="30">
        <v>0</v>
      </c>
      <c r="AB825" s="29">
        <v>0</v>
      </c>
      <c r="AC825" s="29">
        <v>0</v>
      </c>
      <c r="AD825" s="29">
        <v>6000</v>
      </c>
      <c r="AE825" s="29">
        <v>3</v>
      </c>
      <c r="AF825" s="29">
        <v>0</v>
      </c>
      <c r="AG825" s="29">
        <v>0</v>
      </c>
      <c r="AH825" s="2" t="e">
        <v>#N/A</v>
      </c>
      <c r="AI825" s="2" t="e">
        <v>#N/A</v>
      </c>
      <c r="AJ825" s="2" t="s">
        <v>5</v>
      </c>
      <c r="AK825" s="2" t="s">
        <v>5</v>
      </c>
    </row>
    <row r="826" spans="3:37" ht="12.5">
      <c r="C826" s="2" t="str">
        <f ca="1"/>
        <v/>
      </c>
      <c r="D826" s="2" t="str">
        <v/>
      </c>
      <c r="E826" s="29" t="str">
        <v/>
      </c>
      <c r="F826" s="30" t="str">
        <v/>
      </c>
      <c r="G826" s="29" t="str">
        <v/>
      </c>
      <c r="H826" s="30" t="str">
        <v/>
      </c>
      <c r="I826" s="29" t="str">
        <v/>
      </c>
      <c r="J826" s="29" t="str">
        <v/>
      </c>
      <c r="K826" s="29" t="str">
        <v/>
      </c>
      <c r="L826" s="29" t="str">
        <v/>
      </c>
      <c r="M826" s="29" t="str">
        <v/>
      </c>
      <c r="N826" s="29" t="str">
        <v/>
      </c>
      <c r="O826" s="2" t="str">
        <f ca="1"/>
        <v/>
      </c>
      <c r="P826" s="2" t="str">
        <f ca="1"/>
        <v/>
      </c>
      <c r="Q826" s="2" t="s">
        <v>5</v>
      </c>
      <c r="R826" s="2" t="s">
        <v>5</v>
      </c>
      <c r="U826" s="2" t="s">
        <v>455</v>
      </c>
      <c r="V826" s="2" t="e">
        <v>#N/A</v>
      </c>
      <c r="W826" s="2">
        <v>0</v>
      </c>
      <c r="X826" s="29">
        <v>0</v>
      </c>
      <c r="Y826" s="30">
        <v>0</v>
      </c>
      <c r="Z826" s="29">
        <v>0</v>
      </c>
      <c r="AA826" s="30">
        <v>0</v>
      </c>
      <c r="AB826" s="29">
        <v>0</v>
      </c>
      <c r="AC826" s="29">
        <v>0</v>
      </c>
      <c r="AD826" s="29">
        <v>4000</v>
      </c>
      <c r="AE826" s="29">
        <v>2</v>
      </c>
      <c r="AF826" s="29">
        <v>0</v>
      </c>
      <c r="AG826" s="29">
        <v>0</v>
      </c>
      <c r="AH826" s="2" t="e">
        <v>#N/A</v>
      </c>
      <c r="AI826" s="2" t="e">
        <v>#N/A</v>
      </c>
      <c r="AJ826" s="2" t="s">
        <v>5</v>
      </c>
      <c r="AK826" s="2" t="s">
        <v>5</v>
      </c>
    </row>
    <row r="827" spans="3:37" ht="12.5">
      <c r="C827" s="2" t="str">
        <f ca="1"/>
        <v/>
      </c>
      <c r="D827" s="2" t="str">
        <v/>
      </c>
      <c r="E827" s="29" t="str">
        <v/>
      </c>
      <c r="F827" s="30" t="str">
        <v/>
      </c>
      <c r="G827" s="29" t="str">
        <v/>
      </c>
      <c r="H827" s="30" t="str">
        <v/>
      </c>
      <c r="I827" s="29" t="str">
        <v/>
      </c>
      <c r="J827" s="29" t="str">
        <v/>
      </c>
      <c r="K827" s="29" t="str">
        <v/>
      </c>
      <c r="L827" s="29" t="str">
        <v/>
      </c>
      <c r="M827" s="29" t="str">
        <v/>
      </c>
      <c r="N827" s="29" t="str">
        <v/>
      </c>
      <c r="O827" s="2" t="str">
        <f ca="1"/>
        <v/>
      </c>
      <c r="P827" s="2" t="str">
        <f ca="1"/>
        <v/>
      </c>
      <c r="Q827" s="2" t="s">
        <v>5</v>
      </c>
      <c r="R827" s="2" t="s">
        <v>5</v>
      </c>
      <c r="U827" s="2" t="s">
        <v>463</v>
      </c>
      <c r="V827" s="2" t="e">
        <v>#N/A</v>
      </c>
      <c r="W827" s="2">
        <v>0</v>
      </c>
      <c r="X827" s="29">
        <v>0</v>
      </c>
      <c r="Y827" s="30">
        <v>0</v>
      </c>
      <c r="Z827" s="29">
        <v>0</v>
      </c>
      <c r="AA827" s="30">
        <v>0</v>
      </c>
      <c r="AB827" s="29">
        <v>0</v>
      </c>
      <c r="AC827" s="29">
        <v>0</v>
      </c>
      <c r="AD827" s="29">
        <v>2000</v>
      </c>
      <c r="AE827" s="29">
        <v>1</v>
      </c>
      <c r="AF827" s="29">
        <v>0</v>
      </c>
      <c r="AG827" s="29">
        <v>0</v>
      </c>
      <c r="AH827" s="2" t="e">
        <v>#N/A</v>
      </c>
      <c r="AI827" s="2" t="e">
        <v>#N/A</v>
      </c>
      <c r="AJ827" s="2" t="s">
        <v>5</v>
      </c>
      <c r="AK827" s="2" t="s">
        <v>5</v>
      </c>
    </row>
    <row r="828" spans="3:37" ht="12.5">
      <c r="C828" s="2" t="str">
        <f ca="1"/>
        <v/>
      </c>
      <c r="D828" s="2" t="str">
        <v/>
      </c>
      <c r="E828" s="29" t="str">
        <v/>
      </c>
      <c r="F828" s="30" t="str">
        <v/>
      </c>
      <c r="G828" s="29" t="str">
        <v/>
      </c>
      <c r="H828" s="30" t="str">
        <v/>
      </c>
      <c r="I828" s="29" t="str">
        <v/>
      </c>
      <c r="J828" s="29" t="str">
        <v/>
      </c>
      <c r="K828" s="29" t="str">
        <v/>
      </c>
      <c r="L828" s="29" t="str">
        <v/>
      </c>
      <c r="M828" s="29" t="str">
        <v/>
      </c>
      <c r="N828" s="29" t="str">
        <v/>
      </c>
      <c r="O828" s="2" t="str">
        <f ca="1"/>
        <v/>
      </c>
      <c r="P828" s="2" t="str">
        <f ca="1"/>
        <v/>
      </c>
      <c r="Q828" s="2" t="s">
        <v>5</v>
      </c>
      <c r="R828" s="2" t="s">
        <v>5</v>
      </c>
      <c r="U828" s="2" t="s">
        <v>465</v>
      </c>
      <c r="V828" s="2" t="e">
        <v>#N/A</v>
      </c>
      <c r="W828" s="2">
        <v>0</v>
      </c>
      <c r="X828" s="29">
        <v>0</v>
      </c>
      <c r="Y828" s="30">
        <v>0</v>
      </c>
      <c r="Z828" s="29">
        <v>0</v>
      </c>
      <c r="AA828" s="30">
        <v>0</v>
      </c>
      <c r="AB828" s="29">
        <v>0</v>
      </c>
      <c r="AC828" s="29">
        <v>0</v>
      </c>
      <c r="AD828" s="29">
        <v>2000</v>
      </c>
      <c r="AE828" s="29">
        <v>1</v>
      </c>
      <c r="AF828" s="29">
        <v>0</v>
      </c>
      <c r="AG828" s="29">
        <v>0</v>
      </c>
      <c r="AH828" s="2" t="e">
        <v>#N/A</v>
      </c>
      <c r="AI828" s="2" t="e">
        <v>#N/A</v>
      </c>
      <c r="AJ828" s="2" t="s">
        <v>5</v>
      </c>
      <c r="AK828" s="2" t="s">
        <v>5</v>
      </c>
    </row>
    <row r="829" spans="3:37" ht="12.5">
      <c r="C829" s="2" t="str">
        <f ca="1"/>
        <v/>
      </c>
      <c r="D829" s="2" t="str">
        <v/>
      </c>
      <c r="E829" s="29" t="str">
        <v/>
      </c>
      <c r="F829" s="30" t="str">
        <v/>
      </c>
      <c r="G829" s="29" t="str">
        <v/>
      </c>
      <c r="H829" s="30" t="str">
        <v/>
      </c>
      <c r="I829" s="29" t="str">
        <v/>
      </c>
      <c r="J829" s="29" t="str">
        <v/>
      </c>
      <c r="K829" s="29" t="str">
        <v/>
      </c>
      <c r="L829" s="29" t="str">
        <v/>
      </c>
      <c r="M829" s="29" t="str">
        <v/>
      </c>
      <c r="N829" s="29" t="str">
        <v/>
      </c>
      <c r="O829" s="2" t="str">
        <f ca="1"/>
        <v/>
      </c>
      <c r="P829" s="2" t="str">
        <f ca="1"/>
        <v/>
      </c>
      <c r="Q829" s="2" t="s">
        <v>5</v>
      </c>
      <c r="R829" s="2" t="s">
        <v>5</v>
      </c>
      <c r="U829" s="2" t="s">
        <v>466</v>
      </c>
      <c r="V829" s="2" t="e">
        <v>#N/A</v>
      </c>
      <c r="W829" s="2">
        <v>0</v>
      </c>
      <c r="X829" s="29">
        <v>0</v>
      </c>
      <c r="Y829" s="30">
        <v>0</v>
      </c>
      <c r="Z829" s="29">
        <v>0</v>
      </c>
      <c r="AA829" s="30">
        <v>0</v>
      </c>
      <c r="AB829" s="29">
        <v>0</v>
      </c>
      <c r="AC829" s="29">
        <v>0</v>
      </c>
      <c r="AD829" s="29">
        <v>2000</v>
      </c>
      <c r="AE829" s="29">
        <v>1</v>
      </c>
      <c r="AF829" s="29">
        <v>0</v>
      </c>
      <c r="AG829" s="29">
        <v>0</v>
      </c>
      <c r="AH829" s="2" t="e">
        <v>#N/A</v>
      </c>
      <c r="AI829" s="2" t="e">
        <v>#N/A</v>
      </c>
      <c r="AJ829" s="2" t="s">
        <v>5</v>
      </c>
      <c r="AK829" s="2" t="s">
        <v>5</v>
      </c>
    </row>
    <row r="830" spans="3:37" ht="12.5">
      <c r="C830" s="2" t="str">
        <f ca="1"/>
        <v/>
      </c>
      <c r="D830" s="2" t="str">
        <v/>
      </c>
      <c r="E830" s="29" t="str">
        <v/>
      </c>
      <c r="F830" s="30" t="str">
        <v/>
      </c>
      <c r="G830" s="29" t="str">
        <v/>
      </c>
      <c r="H830" s="30" t="str">
        <v/>
      </c>
      <c r="I830" s="29" t="str">
        <v/>
      </c>
      <c r="J830" s="29" t="str">
        <v/>
      </c>
      <c r="K830" s="29" t="str">
        <v/>
      </c>
      <c r="L830" s="29" t="str">
        <v/>
      </c>
      <c r="M830" s="29" t="str">
        <v/>
      </c>
      <c r="N830" s="29" t="str">
        <v/>
      </c>
      <c r="O830" s="2" t="str">
        <f ca="1"/>
        <v/>
      </c>
      <c r="P830" s="2" t="str">
        <f ca="1"/>
        <v/>
      </c>
      <c r="Q830" s="2" t="s">
        <v>5</v>
      </c>
      <c r="R830" s="2" t="s">
        <v>5</v>
      </c>
      <c r="U830" s="2" t="s">
        <v>469</v>
      </c>
      <c r="V830" s="2" t="e">
        <v>#N/A</v>
      </c>
      <c r="W830" s="2">
        <v>0</v>
      </c>
      <c r="X830" s="29">
        <v>0</v>
      </c>
      <c r="Y830" s="30">
        <v>0</v>
      </c>
      <c r="Z830" s="29">
        <v>0</v>
      </c>
      <c r="AA830" s="30">
        <v>0</v>
      </c>
      <c r="AB830" s="29">
        <v>0</v>
      </c>
      <c r="AC830" s="29">
        <v>0</v>
      </c>
      <c r="AD830" s="29">
        <v>2000</v>
      </c>
      <c r="AE830" s="29">
        <v>1</v>
      </c>
      <c r="AF830" s="29">
        <v>0</v>
      </c>
      <c r="AG830" s="29">
        <v>0</v>
      </c>
      <c r="AH830" s="2" t="e">
        <v>#N/A</v>
      </c>
      <c r="AI830" s="2" t="e">
        <v>#N/A</v>
      </c>
      <c r="AJ830" s="2" t="s">
        <v>5</v>
      </c>
      <c r="AK830" s="2" t="s">
        <v>5</v>
      </c>
    </row>
    <row r="831" spans="3:37" ht="12.5">
      <c r="C831" s="2" t="str">
        <f ca="1"/>
        <v/>
      </c>
      <c r="D831" s="2" t="str">
        <v/>
      </c>
      <c r="E831" s="29" t="str">
        <v/>
      </c>
      <c r="F831" s="30" t="str">
        <v/>
      </c>
      <c r="G831" s="29" t="str">
        <v/>
      </c>
      <c r="H831" s="30" t="str">
        <v/>
      </c>
      <c r="I831" s="29" t="str">
        <v/>
      </c>
      <c r="J831" s="29" t="str">
        <v/>
      </c>
      <c r="K831" s="29" t="str">
        <v/>
      </c>
      <c r="L831" s="29" t="str">
        <v/>
      </c>
      <c r="M831" s="29" t="str">
        <v/>
      </c>
      <c r="N831" s="29" t="str">
        <v/>
      </c>
      <c r="O831" s="2" t="str">
        <f ca="1"/>
        <v/>
      </c>
      <c r="P831" s="2" t="str">
        <f ca="1"/>
        <v/>
      </c>
      <c r="Q831" s="2" t="s">
        <v>5</v>
      </c>
      <c r="R831" s="2" t="s">
        <v>5</v>
      </c>
      <c r="U831" s="2" t="s">
        <v>477</v>
      </c>
      <c r="V831" s="2" t="e">
        <v>#N/A</v>
      </c>
      <c r="W831" s="2">
        <v>0</v>
      </c>
      <c r="X831" s="29">
        <v>0</v>
      </c>
      <c r="Y831" s="30">
        <v>0</v>
      </c>
      <c r="Z831" s="29">
        <v>0</v>
      </c>
      <c r="AA831" s="30">
        <v>0</v>
      </c>
      <c r="AB831" s="29">
        <v>0</v>
      </c>
      <c r="AC831" s="29">
        <v>0</v>
      </c>
      <c r="AD831" s="29">
        <v>2000</v>
      </c>
      <c r="AE831" s="29">
        <v>1</v>
      </c>
      <c r="AF831" s="29">
        <v>0</v>
      </c>
      <c r="AG831" s="29">
        <v>0</v>
      </c>
      <c r="AH831" s="2" t="e">
        <v>#N/A</v>
      </c>
      <c r="AI831" s="2" t="e">
        <v>#N/A</v>
      </c>
      <c r="AJ831" s="2" t="s">
        <v>5</v>
      </c>
      <c r="AK831" s="2" t="s">
        <v>5</v>
      </c>
    </row>
    <row r="832" spans="3:37" ht="12.5">
      <c r="C832" s="2" t="str">
        <f ca="1"/>
        <v/>
      </c>
      <c r="D832" s="2" t="str">
        <v/>
      </c>
      <c r="E832" s="29" t="str">
        <v/>
      </c>
      <c r="F832" s="30" t="str">
        <v/>
      </c>
      <c r="G832" s="29" t="str">
        <v/>
      </c>
      <c r="H832" s="30" t="str">
        <v/>
      </c>
      <c r="I832" s="29" t="str">
        <v/>
      </c>
      <c r="J832" s="29" t="str">
        <v/>
      </c>
      <c r="K832" s="29" t="str">
        <v/>
      </c>
      <c r="L832" s="29" t="str">
        <v/>
      </c>
      <c r="M832" s="29" t="str">
        <v/>
      </c>
      <c r="N832" s="29" t="str">
        <v/>
      </c>
      <c r="O832" s="2" t="str">
        <f ca="1"/>
        <v/>
      </c>
      <c r="P832" s="2" t="str">
        <f ca="1"/>
        <v/>
      </c>
      <c r="Q832" s="2" t="s">
        <v>5</v>
      </c>
      <c r="R832" s="2" t="s">
        <v>5</v>
      </c>
      <c r="U832" s="2" t="s">
        <v>478</v>
      </c>
      <c r="V832" s="2" t="e">
        <v>#N/A</v>
      </c>
      <c r="W832" s="2">
        <v>0</v>
      </c>
      <c r="X832" s="29">
        <v>0</v>
      </c>
      <c r="Y832" s="30">
        <v>0</v>
      </c>
      <c r="Z832" s="29">
        <v>0</v>
      </c>
      <c r="AA832" s="30">
        <v>0</v>
      </c>
      <c r="AB832" s="29">
        <v>0</v>
      </c>
      <c r="AC832" s="29">
        <v>0</v>
      </c>
      <c r="AD832" s="29">
        <v>2000</v>
      </c>
      <c r="AE832" s="29">
        <v>1</v>
      </c>
      <c r="AF832" s="29">
        <v>0</v>
      </c>
      <c r="AG832" s="29">
        <v>0</v>
      </c>
      <c r="AH832" s="2" t="e">
        <v>#N/A</v>
      </c>
      <c r="AI832" s="2" t="e">
        <v>#N/A</v>
      </c>
      <c r="AJ832" s="2" t="s">
        <v>5</v>
      </c>
      <c r="AK832" s="2" t="s">
        <v>5</v>
      </c>
    </row>
    <row r="833" spans="3:37" ht="12.5">
      <c r="C833" s="2" t="str">
        <f ca="1"/>
        <v/>
      </c>
      <c r="D833" s="2" t="str">
        <v/>
      </c>
      <c r="E833" s="29" t="str">
        <v/>
      </c>
      <c r="F833" s="30" t="str">
        <v/>
      </c>
      <c r="G833" s="29" t="str">
        <v/>
      </c>
      <c r="H833" s="30" t="str">
        <v/>
      </c>
      <c r="I833" s="29" t="str">
        <v/>
      </c>
      <c r="J833" s="29" t="str">
        <v/>
      </c>
      <c r="K833" s="29" t="str">
        <v/>
      </c>
      <c r="L833" s="29" t="str">
        <v/>
      </c>
      <c r="M833" s="29" t="str">
        <v/>
      </c>
      <c r="N833" s="29" t="str">
        <v/>
      </c>
      <c r="O833" s="2" t="str">
        <f ca="1"/>
        <v/>
      </c>
      <c r="P833" s="2" t="str">
        <f ca="1"/>
        <v/>
      </c>
      <c r="Q833" s="2" t="s">
        <v>5</v>
      </c>
      <c r="R833" s="2" t="s">
        <v>5</v>
      </c>
      <c r="U833" s="2" t="s">
        <v>480</v>
      </c>
      <c r="V833" s="2" t="e">
        <v>#N/A</v>
      </c>
      <c r="W833" s="2">
        <v>0</v>
      </c>
      <c r="X833" s="29">
        <v>0</v>
      </c>
      <c r="Y833" s="30">
        <v>0</v>
      </c>
      <c r="Z833" s="29">
        <v>0</v>
      </c>
      <c r="AA833" s="30">
        <v>0</v>
      </c>
      <c r="AB833" s="29">
        <v>0</v>
      </c>
      <c r="AC833" s="29">
        <v>0</v>
      </c>
      <c r="AD833" s="29">
        <v>2000</v>
      </c>
      <c r="AE833" s="29">
        <v>1</v>
      </c>
      <c r="AF833" s="29">
        <v>0</v>
      </c>
      <c r="AG833" s="29">
        <v>0</v>
      </c>
      <c r="AH833" s="2" t="e">
        <v>#N/A</v>
      </c>
      <c r="AI833" s="2" t="e">
        <v>#N/A</v>
      </c>
      <c r="AJ833" s="2" t="s">
        <v>5</v>
      </c>
      <c r="AK833" s="2" t="s">
        <v>5</v>
      </c>
    </row>
    <row r="834" spans="3:37" ht="12.5">
      <c r="C834" s="2" t="str">
        <f ca="1"/>
        <v/>
      </c>
      <c r="D834" s="2" t="str">
        <v/>
      </c>
      <c r="E834" s="29" t="str">
        <v/>
      </c>
      <c r="F834" s="30" t="str">
        <v/>
      </c>
      <c r="G834" s="29" t="str">
        <v/>
      </c>
      <c r="H834" s="30" t="str">
        <v/>
      </c>
      <c r="I834" s="29" t="str">
        <v/>
      </c>
      <c r="J834" s="29" t="str">
        <v/>
      </c>
      <c r="K834" s="29" t="str">
        <v/>
      </c>
      <c r="L834" s="29" t="str">
        <v/>
      </c>
      <c r="M834" s="29" t="str">
        <v/>
      </c>
      <c r="N834" s="29" t="str">
        <v/>
      </c>
      <c r="O834" s="2" t="str">
        <f ca="1"/>
        <v/>
      </c>
      <c r="P834" s="2" t="str">
        <f ca="1"/>
        <v/>
      </c>
      <c r="Q834" s="2" t="s">
        <v>5</v>
      </c>
      <c r="R834" s="2" t="s">
        <v>5</v>
      </c>
      <c r="U834" s="2" t="s">
        <v>489</v>
      </c>
      <c r="V834" s="2" t="e">
        <v>#N/A</v>
      </c>
      <c r="W834" s="2">
        <v>0</v>
      </c>
      <c r="X834" s="29">
        <v>0</v>
      </c>
      <c r="Y834" s="30">
        <v>0</v>
      </c>
      <c r="Z834" s="29">
        <v>0</v>
      </c>
      <c r="AA834" s="30">
        <v>0</v>
      </c>
      <c r="AB834" s="29">
        <v>0</v>
      </c>
      <c r="AC834" s="29">
        <v>0</v>
      </c>
      <c r="AD834" s="29">
        <v>2000</v>
      </c>
      <c r="AE834" s="29">
        <v>1</v>
      </c>
      <c r="AF834" s="29">
        <v>0</v>
      </c>
      <c r="AG834" s="29">
        <v>0</v>
      </c>
      <c r="AH834" s="2" t="e">
        <v>#N/A</v>
      </c>
      <c r="AI834" s="2" t="e">
        <v>#N/A</v>
      </c>
      <c r="AJ834" s="2" t="s">
        <v>5</v>
      </c>
      <c r="AK834" s="2" t="s">
        <v>5</v>
      </c>
    </row>
    <row r="835" spans="3:37" ht="12.5">
      <c r="C835" s="2" t="str">
        <f ca="1"/>
        <v/>
      </c>
      <c r="D835" s="2" t="str">
        <v/>
      </c>
      <c r="E835" s="29" t="str">
        <v/>
      </c>
      <c r="F835" s="30" t="str">
        <v/>
      </c>
      <c r="G835" s="29" t="str">
        <v/>
      </c>
      <c r="H835" s="30" t="str">
        <v/>
      </c>
      <c r="I835" s="29" t="str">
        <v/>
      </c>
      <c r="J835" s="29" t="str">
        <v/>
      </c>
      <c r="K835" s="29" t="str">
        <v/>
      </c>
      <c r="L835" s="29" t="str">
        <v/>
      </c>
      <c r="M835" s="29" t="str">
        <v/>
      </c>
      <c r="N835" s="29" t="str">
        <v/>
      </c>
      <c r="O835" s="2" t="str">
        <f ca="1"/>
        <v/>
      </c>
      <c r="P835" s="2" t="str">
        <f ca="1"/>
        <v/>
      </c>
      <c r="Q835" s="2" t="s">
        <v>5</v>
      </c>
      <c r="R835" s="2" t="s">
        <v>5</v>
      </c>
      <c r="U835" s="2" t="s">
        <v>499</v>
      </c>
      <c r="V835" s="2" t="e">
        <v>#N/A</v>
      </c>
      <c r="W835" s="2">
        <v>0</v>
      </c>
      <c r="X835" s="29">
        <v>0</v>
      </c>
      <c r="Y835" s="30">
        <v>0</v>
      </c>
      <c r="Z835" s="29">
        <v>0</v>
      </c>
      <c r="AA835" s="30">
        <v>0</v>
      </c>
      <c r="AB835" s="29">
        <v>0</v>
      </c>
      <c r="AC835" s="29">
        <v>0</v>
      </c>
      <c r="AD835" s="29">
        <v>2000</v>
      </c>
      <c r="AE835" s="29">
        <v>1</v>
      </c>
      <c r="AF835" s="29">
        <v>0</v>
      </c>
      <c r="AG835" s="29">
        <v>0</v>
      </c>
      <c r="AH835" s="2" t="e">
        <v>#N/A</v>
      </c>
      <c r="AI835" s="2" t="e">
        <v>#N/A</v>
      </c>
      <c r="AJ835" s="2" t="s">
        <v>5</v>
      </c>
      <c r="AK835" s="2" t="s">
        <v>5</v>
      </c>
    </row>
    <row r="836" spans="3:37" ht="12.5">
      <c r="C836" s="2" t="str">
        <f ca="1"/>
        <v/>
      </c>
      <c r="D836" s="2" t="str">
        <v/>
      </c>
      <c r="E836" s="29" t="str">
        <v/>
      </c>
      <c r="F836" s="30" t="str">
        <v/>
      </c>
      <c r="G836" s="29" t="str">
        <v/>
      </c>
      <c r="H836" s="30" t="str">
        <v/>
      </c>
      <c r="I836" s="29" t="str">
        <v/>
      </c>
      <c r="J836" s="29" t="str">
        <v/>
      </c>
      <c r="K836" s="29" t="str">
        <v/>
      </c>
      <c r="L836" s="29" t="str">
        <v/>
      </c>
      <c r="M836" s="29" t="str">
        <v/>
      </c>
      <c r="N836" s="29" t="str">
        <v/>
      </c>
      <c r="O836" s="2" t="str">
        <f ca="1"/>
        <v/>
      </c>
      <c r="P836" s="2" t="str">
        <f ca="1"/>
        <v/>
      </c>
      <c r="Q836" s="2" t="s">
        <v>5</v>
      </c>
      <c r="R836" s="2" t="s">
        <v>5</v>
      </c>
      <c r="U836" s="2" t="s">
        <v>501</v>
      </c>
      <c r="V836" s="2" t="e">
        <v>#N/A</v>
      </c>
      <c r="W836" s="2">
        <v>0</v>
      </c>
      <c r="X836" s="29">
        <v>0</v>
      </c>
      <c r="Y836" s="30">
        <v>0</v>
      </c>
      <c r="Z836" s="29">
        <v>0</v>
      </c>
      <c r="AA836" s="30">
        <v>0</v>
      </c>
      <c r="AB836" s="29">
        <v>0</v>
      </c>
      <c r="AC836" s="29">
        <v>0</v>
      </c>
      <c r="AD836" s="29">
        <v>2000</v>
      </c>
      <c r="AE836" s="29">
        <v>1</v>
      </c>
      <c r="AF836" s="29">
        <v>0</v>
      </c>
      <c r="AG836" s="29">
        <v>0</v>
      </c>
      <c r="AH836" s="2" t="e">
        <v>#N/A</v>
      </c>
      <c r="AI836" s="2" t="e">
        <v>#N/A</v>
      </c>
      <c r="AJ836" s="2" t="s">
        <v>5</v>
      </c>
      <c r="AK836" s="2" t="s">
        <v>5</v>
      </c>
    </row>
    <row r="837" spans="3:37" ht="12.5">
      <c r="C837" s="2" t="str">
        <f ca="1"/>
        <v/>
      </c>
      <c r="D837" s="2" t="str">
        <v/>
      </c>
      <c r="E837" s="29" t="str">
        <v/>
      </c>
      <c r="F837" s="30" t="str">
        <v/>
      </c>
      <c r="G837" s="29" t="str">
        <v/>
      </c>
      <c r="H837" s="30" t="str">
        <v/>
      </c>
      <c r="I837" s="29" t="str">
        <v/>
      </c>
      <c r="J837" s="29" t="str">
        <v/>
      </c>
      <c r="K837" s="29" t="str">
        <v/>
      </c>
      <c r="L837" s="29" t="str">
        <v/>
      </c>
      <c r="M837" s="29" t="str">
        <v/>
      </c>
      <c r="N837" s="29" t="str">
        <v/>
      </c>
      <c r="O837" s="2" t="str">
        <f ca="1"/>
        <v/>
      </c>
      <c r="P837" s="2" t="str">
        <f ca="1"/>
        <v/>
      </c>
      <c r="Q837" s="2" t="s">
        <v>5</v>
      </c>
      <c r="R837" s="2" t="s">
        <v>5</v>
      </c>
      <c r="U837" s="2" t="s">
        <v>502</v>
      </c>
      <c r="V837" s="2" t="e">
        <v>#N/A</v>
      </c>
      <c r="W837" s="2">
        <v>0</v>
      </c>
      <c r="X837" s="29">
        <v>0</v>
      </c>
      <c r="Y837" s="30">
        <v>0</v>
      </c>
      <c r="Z837" s="29">
        <v>0</v>
      </c>
      <c r="AA837" s="30">
        <v>0</v>
      </c>
      <c r="AB837" s="29">
        <v>0</v>
      </c>
      <c r="AC837" s="29">
        <v>0</v>
      </c>
      <c r="AD837" s="29">
        <v>4000</v>
      </c>
      <c r="AE837" s="29">
        <v>2</v>
      </c>
      <c r="AF837" s="29">
        <v>0</v>
      </c>
      <c r="AG837" s="29">
        <v>0</v>
      </c>
      <c r="AH837" s="2" t="e">
        <v>#N/A</v>
      </c>
      <c r="AI837" s="2" t="e">
        <v>#N/A</v>
      </c>
      <c r="AJ837" s="2" t="s">
        <v>5</v>
      </c>
      <c r="AK837" s="2" t="s">
        <v>5</v>
      </c>
    </row>
    <row r="838" spans="3:37" ht="12.5">
      <c r="C838" s="2" t="str">
        <f ca="1"/>
        <v/>
      </c>
      <c r="D838" s="2" t="str">
        <v/>
      </c>
      <c r="E838" s="29" t="str">
        <v/>
      </c>
      <c r="F838" s="30" t="str">
        <v/>
      </c>
      <c r="G838" s="29" t="str">
        <v/>
      </c>
      <c r="H838" s="30" t="str">
        <v/>
      </c>
      <c r="I838" s="29" t="str">
        <v/>
      </c>
      <c r="J838" s="29" t="str">
        <v/>
      </c>
      <c r="K838" s="29" t="str">
        <v/>
      </c>
      <c r="L838" s="29" t="str">
        <v/>
      </c>
      <c r="M838" s="29" t="str">
        <v/>
      </c>
      <c r="N838" s="29" t="str">
        <v/>
      </c>
      <c r="O838" s="2" t="str">
        <f ca="1"/>
        <v/>
      </c>
      <c r="P838" s="2" t="str">
        <f ca="1"/>
        <v/>
      </c>
      <c r="Q838" s="2" t="s">
        <v>5</v>
      </c>
      <c r="R838" s="2" t="s">
        <v>5</v>
      </c>
      <c r="U838" s="2" t="s">
        <v>503</v>
      </c>
      <c r="V838" s="2" t="e">
        <v>#N/A</v>
      </c>
      <c r="W838" s="2">
        <v>0</v>
      </c>
      <c r="X838" s="29">
        <v>0</v>
      </c>
      <c r="Y838" s="30">
        <v>0</v>
      </c>
      <c r="Z838" s="29">
        <v>0</v>
      </c>
      <c r="AA838" s="30">
        <v>0</v>
      </c>
      <c r="AB838" s="29">
        <v>0</v>
      </c>
      <c r="AC838" s="29">
        <v>0</v>
      </c>
      <c r="AD838" s="29">
        <v>6000</v>
      </c>
      <c r="AE838" s="29">
        <v>3</v>
      </c>
      <c r="AF838" s="29">
        <v>0</v>
      </c>
      <c r="AG838" s="29">
        <v>0</v>
      </c>
      <c r="AH838" s="2" t="e">
        <v>#N/A</v>
      </c>
      <c r="AI838" s="2" t="e">
        <v>#N/A</v>
      </c>
      <c r="AJ838" s="2" t="s">
        <v>5</v>
      </c>
      <c r="AK838" s="2" t="s">
        <v>5</v>
      </c>
    </row>
    <row r="839" spans="3:37" ht="12.5">
      <c r="C839" s="2" t="str">
        <f ca="1"/>
        <v/>
      </c>
      <c r="D839" s="2" t="str">
        <v/>
      </c>
      <c r="E839" s="29" t="str">
        <v/>
      </c>
      <c r="F839" s="30" t="str">
        <v/>
      </c>
      <c r="G839" s="29" t="str">
        <v/>
      </c>
      <c r="H839" s="30" t="str">
        <v/>
      </c>
      <c r="I839" s="29" t="str">
        <v/>
      </c>
      <c r="J839" s="29" t="str">
        <v/>
      </c>
      <c r="K839" s="29" t="str">
        <v/>
      </c>
      <c r="L839" s="29" t="str">
        <v/>
      </c>
      <c r="M839" s="29" t="str">
        <v/>
      </c>
      <c r="N839" s="29" t="str">
        <v/>
      </c>
      <c r="O839" s="2" t="str">
        <f ca="1"/>
        <v/>
      </c>
      <c r="P839" s="2" t="str">
        <f ca="1"/>
        <v/>
      </c>
      <c r="Q839" s="2" t="s">
        <v>5</v>
      </c>
      <c r="R839" s="2" t="s">
        <v>5</v>
      </c>
      <c r="U839" s="2" t="s">
        <v>509</v>
      </c>
      <c r="V839" s="2" t="e">
        <v>#N/A</v>
      </c>
      <c r="W839" s="2">
        <v>0</v>
      </c>
      <c r="X839" s="29">
        <v>0</v>
      </c>
      <c r="Y839" s="30">
        <v>0</v>
      </c>
      <c r="Z839" s="29">
        <v>0</v>
      </c>
      <c r="AA839" s="30">
        <v>0</v>
      </c>
      <c r="AB839" s="29">
        <v>0</v>
      </c>
      <c r="AC839" s="29">
        <v>0</v>
      </c>
      <c r="AD839" s="29">
        <v>2000</v>
      </c>
      <c r="AE839" s="29">
        <v>1</v>
      </c>
      <c r="AF839" s="29">
        <v>0</v>
      </c>
      <c r="AG839" s="29">
        <v>0</v>
      </c>
      <c r="AH839" s="2" t="e">
        <v>#N/A</v>
      </c>
      <c r="AI839" s="2" t="e">
        <v>#N/A</v>
      </c>
      <c r="AJ839" s="2" t="s">
        <v>5</v>
      </c>
      <c r="AK839" s="2" t="s">
        <v>5</v>
      </c>
    </row>
    <row r="840" spans="3:37" ht="12.5">
      <c r="C840" s="2" t="str">
        <f ca="1"/>
        <v/>
      </c>
      <c r="D840" s="2" t="str">
        <v/>
      </c>
      <c r="E840" s="29" t="str">
        <v/>
      </c>
      <c r="F840" s="30" t="str">
        <v/>
      </c>
      <c r="G840" s="29" t="str">
        <v/>
      </c>
      <c r="H840" s="30" t="str">
        <v/>
      </c>
      <c r="I840" s="29" t="str">
        <v/>
      </c>
      <c r="J840" s="29" t="str">
        <v/>
      </c>
      <c r="K840" s="29" t="str">
        <v/>
      </c>
      <c r="L840" s="29" t="str">
        <v/>
      </c>
      <c r="M840" s="29" t="str">
        <v/>
      </c>
      <c r="N840" s="29" t="str">
        <v/>
      </c>
      <c r="O840" s="2" t="str">
        <f ca="1"/>
        <v/>
      </c>
      <c r="P840" s="2" t="str">
        <f ca="1"/>
        <v/>
      </c>
      <c r="Q840" s="2" t="s">
        <v>5</v>
      </c>
      <c r="R840" s="2" t="s">
        <v>5</v>
      </c>
      <c r="U840" s="2" t="s">
        <v>510</v>
      </c>
      <c r="V840" s="2" t="e">
        <v>#N/A</v>
      </c>
      <c r="W840" s="2">
        <v>0</v>
      </c>
      <c r="X840" s="29">
        <v>0</v>
      </c>
      <c r="Y840" s="30">
        <v>0</v>
      </c>
      <c r="Z840" s="29">
        <v>0</v>
      </c>
      <c r="AA840" s="30">
        <v>0</v>
      </c>
      <c r="AB840" s="29">
        <v>0</v>
      </c>
      <c r="AC840" s="29">
        <v>0</v>
      </c>
      <c r="AD840" s="29">
        <v>2000</v>
      </c>
      <c r="AE840" s="29">
        <v>1</v>
      </c>
      <c r="AF840" s="29">
        <v>0</v>
      </c>
      <c r="AG840" s="29">
        <v>0</v>
      </c>
      <c r="AH840" s="2" t="e">
        <v>#N/A</v>
      </c>
      <c r="AI840" s="2" t="e">
        <v>#N/A</v>
      </c>
      <c r="AJ840" s="2" t="s">
        <v>5</v>
      </c>
      <c r="AK840" s="2" t="s">
        <v>5</v>
      </c>
    </row>
    <row r="841" spans="3:37" ht="12.5">
      <c r="C841" s="2" t="str">
        <f ca="1"/>
        <v/>
      </c>
      <c r="D841" s="2" t="str">
        <v/>
      </c>
      <c r="E841" s="29" t="str">
        <v/>
      </c>
      <c r="F841" s="30" t="str">
        <v/>
      </c>
      <c r="G841" s="29" t="str">
        <v/>
      </c>
      <c r="H841" s="30" t="str">
        <v/>
      </c>
      <c r="I841" s="29" t="str">
        <v/>
      </c>
      <c r="J841" s="29" t="str">
        <v/>
      </c>
      <c r="K841" s="29" t="str">
        <v/>
      </c>
      <c r="L841" s="29" t="str">
        <v/>
      </c>
      <c r="M841" s="29" t="str">
        <v/>
      </c>
      <c r="N841" s="29" t="str">
        <v/>
      </c>
      <c r="O841" s="2" t="str">
        <f ca="1"/>
        <v/>
      </c>
      <c r="P841" s="2" t="str">
        <f ca="1"/>
        <v/>
      </c>
      <c r="Q841" s="2" t="s">
        <v>5</v>
      </c>
      <c r="R841" s="2" t="s">
        <v>5</v>
      </c>
      <c r="U841" s="2" t="s">
        <v>513</v>
      </c>
      <c r="V841" s="2" t="e">
        <v>#N/A</v>
      </c>
      <c r="W841" s="2">
        <v>0</v>
      </c>
      <c r="X841" s="29">
        <v>0</v>
      </c>
      <c r="Y841" s="30">
        <v>0</v>
      </c>
      <c r="Z841" s="29">
        <v>0</v>
      </c>
      <c r="AA841" s="30">
        <v>0</v>
      </c>
      <c r="AB841" s="29">
        <v>0</v>
      </c>
      <c r="AC841" s="29">
        <v>0</v>
      </c>
      <c r="AD841" s="29">
        <v>2000</v>
      </c>
      <c r="AE841" s="29">
        <v>1</v>
      </c>
      <c r="AF841" s="29">
        <v>0</v>
      </c>
      <c r="AG841" s="29">
        <v>0</v>
      </c>
      <c r="AH841" s="2" t="e">
        <v>#N/A</v>
      </c>
      <c r="AI841" s="2" t="e">
        <v>#N/A</v>
      </c>
      <c r="AJ841" s="2" t="s">
        <v>5</v>
      </c>
      <c r="AK841" s="2" t="s">
        <v>5</v>
      </c>
    </row>
    <row r="842" spans="3:37" ht="12.5">
      <c r="C842" s="2" t="str">
        <f ca="1"/>
        <v/>
      </c>
      <c r="D842" s="2" t="str">
        <v/>
      </c>
      <c r="E842" s="29" t="str">
        <v/>
      </c>
      <c r="F842" s="30" t="str">
        <v/>
      </c>
      <c r="G842" s="29" t="str">
        <v/>
      </c>
      <c r="H842" s="30" t="str">
        <v/>
      </c>
      <c r="I842" s="29" t="str">
        <v/>
      </c>
      <c r="J842" s="29" t="str">
        <v/>
      </c>
      <c r="K842" s="29" t="str">
        <v/>
      </c>
      <c r="L842" s="29" t="str">
        <v/>
      </c>
      <c r="M842" s="29" t="str">
        <v/>
      </c>
      <c r="N842" s="29" t="str">
        <v/>
      </c>
      <c r="O842" s="2" t="str">
        <f ca="1"/>
        <v/>
      </c>
      <c r="P842" s="2" t="str">
        <f ca="1"/>
        <v/>
      </c>
      <c r="Q842" s="2" t="s">
        <v>5</v>
      </c>
      <c r="R842" s="2" t="s">
        <v>5</v>
      </c>
      <c r="U842" s="2" t="s">
        <v>514</v>
      </c>
      <c r="V842" s="2" t="e">
        <v>#N/A</v>
      </c>
      <c r="W842" s="2">
        <v>0</v>
      </c>
      <c r="X842" s="29">
        <v>0</v>
      </c>
      <c r="Y842" s="30">
        <v>0</v>
      </c>
      <c r="Z842" s="29">
        <v>0</v>
      </c>
      <c r="AA842" s="30">
        <v>0</v>
      </c>
      <c r="AB842" s="29">
        <v>0</v>
      </c>
      <c r="AC842" s="29">
        <v>0</v>
      </c>
      <c r="AD842" s="29">
        <v>2000</v>
      </c>
      <c r="AE842" s="29">
        <v>1</v>
      </c>
      <c r="AF842" s="29">
        <v>0</v>
      </c>
      <c r="AG842" s="29">
        <v>0</v>
      </c>
      <c r="AH842" s="2" t="e">
        <v>#N/A</v>
      </c>
      <c r="AI842" s="2" t="e">
        <v>#N/A</v>
      </c>
      <c r="AJ842" s="2" t="s">
        <v>5</v>
      </c>
      <c r="AK842" s="2" t="s">
        <v>5</v>
      </c>
    </row>
    <row r="843" spans="3:37" ht="12.5">
      <c r="C843" s="2" t="str">
        <f ca="1"/>
        <v/>
      </c>
      <c r="D843" s="2" t="str">
        <v/>
      </c>
      <c r="E843" s="29" t="str">
        <v/>
      </c>
      <c r="F843" s="30" t="str">
        <v/>
      </c>
      <c r="G843" s="29" t="str">
        <v/>
      </c>
      <c r="H843" s="30" t="str">
        <v/>
      </c>
      <c r="I843" s="29" t="str">
        <v/>
      </c>
      <c r="J843" s="29" t="str">
        <v/>
      </c>
      <c r="K843" s="29" t="str">
        <v/>
      </c>
      <c r="L843" s="29" t="str">
        <v/>
      </c>
      <c r="M843" s="29" t="str">
        <v/>
      </c>
      <c r="N843" s="29" t="str">
        <v/>
      </c>
      <c r="O843" s="2" t="str">
        <f ca="1"/>
        <v/>
      </c>
      <c r="P843" s="2" t="str">
        <f ca="1"/>
        <v/>
      </c>
      <c r="Q843" s="2" t="s">
        <v>5</v>
      </c>
      <c r="R843" s="2" t="s">
        <v>5</v>
      </c>
      <c r="U843" s="2" t="s">
        <v>515</v>
      </c>
      <c r="V843" s="2" t="e">
        <v>#N/A</v>
      </c>
      <c r="W843" s="2">
        <v>0</v>
      </c>
      <c r="X843" s="29">
        <v>0</v>
      </c>
      <c r="Y843" s="30">
        <v>0</v>
      </c>
      <c r="Z843" s="29">
        <v>0</v>
      </c>
      <c r="AA843" s="30">
        <v>0</v>
      </c>
      <c r="AB843" s="29">
        <v>0</v>
      </c>
      <c r="AC843" s="29">
        <v>0</v>
      </c>
      <c r="AD843" s="29">
        <v>2000</v>
      </c>
      <c r="AE843" s="29">
        <v>1</v>
      </c>
      <c r="AF843" s="29">
        <v>0</v>
      </c>
      <c r="AG843" s="29">
        <v>0</v>
      </c>
      <c r="AH843" s="2" t="e">
        <v>#N/A</v>
      </c>
      <c r="AI843" s="2" t="e">
        <v>#N/A</v>
      </c>
      <c r="AJ843" s="2" t="s">
        <v>5</v>
      </c>
      <c r="AK843" s="2" t="s">
        <v>5</v>
      </c>
    </row>
  </sheetData>
  <mergeCells count="23">
    <mergeCell ref="AM2:AM5"/>
    <mergeCell ref="Z2:AA2"/>
    <mergeCell ref="AB2:AC2"/>
    <mergeCell ref="AD2:AE2"/>
    <mergeCell ref="AF2:AG2"/>
    <mergeCell ref="AH2:AH3"/>
    <mergeCell ref="AI2:AI3"/>
    <mergeCell ref="AJ2:AJ3"/>
    <mergeCell ref="R2:R3"/>
    <mergeCell ref="U2:U3"/>
    <mergeCell ref="V2:V3"/>
    <mergeCell ref="X2:Y2"/>
    <mergeCell ref="AK2:AK3"/>
    <mergeCell ref="K2:L2"/>
    <mergeCell ref="M2:N2"/>
    <mergeCell ref="O2:O3"/>
    <mergeCell ref="P2:P3"/>
    <mergeCell ref="Q2:Q3"/>
    <mergeCell ref="B2:B3"/>
    <mergeCell ref="C2:C3"/>
    <mergeCell ref="E2:F2"/>
    <mergeCell ref="G2:H2"/>
    <mergeCell ref="I2:J2"/>
  </mergeCells>
  <phoneticPr fontId="1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outlinePr summaryBelow="0" summaryRight="0"/>
  </sheetPr>
  <dimension ref="B1:Q1344"/>
  <sheetViews>
    <sheetView workbookViewId="0"/>
  </sheetViews>
  <sheetFormatPr defaultColWidth="12.7265625" defaultRowHeight="15.75" customHeight="1"/>
  <cols>
    <col min="1" max="1" width="1.81640625" customWidth="1"/>
    <col min="2" max="3" width="24.26953125" customWidth="1"/>
    <col min="4" max="4" width="10.26953125" customWidth="1"/>
    <col min="5" max="5" width="10" customWidth="1"/>
    <col min="6" max="6" width="6.7265625" customWidth="1"/>
    <col min="7" max="7" width="10" customWidth="1"/>
    <col min="8" max="8" width="6.7265625" customWidth="1"/>
    <col min="9" max="9" width="10" customWidth="1"/>
    <col min="10" max="10" width="6.7265625" customWidth="1"/>
    <col min="11" max="11" width="10" customWidth="1"/>
    <col min="12" max="12" width="6.7265625" customWidth="1"/>
    <col min="13" max="13" width="10" customWidth="1"/>
    <col min="14" max="14" width="6.7265625" customWidth="1"/>
    <col min="15" max="16" width="2.453125" customWidth="1"/>
    <col min="17" max="17" width="61" customWidth="1"/>
  </cols>
  <sheetData>
    <row r="1" spans="2:17" ht="6.75" customHeight="1">
      <c r="B1" s="4"/>
      <c r="C1" s="4"/>
      <c r="D1" s="21"/>
      <c r="E1" s="21"/>
      <c r="F1" s="22"/>
      <c r="G1" s="21"/>
      <c r="H1" s="22"/>
      <c r="I1" s="21"/>
      <c r="J1" s="21"/>
      <c r="K1" s="21"/>
      <c r="L1" s="21"/>
      <c r="M1" s="21"/>
      <c r="N1" s="21"/>
    </row>
    <row r="2" spans="2:17" ht="24" customHeight="1">
      <c r="B2" s="62" t="s">
        <v>771</v>
      </c>
      <c r="C2" s="61"/>
      <c r="D2" s="61"/>
      <c r="E2" s="61"/>
      <c r="F2" s="61"/>
      <c r="G2" s="61"/>
      <c r="H2" s="61"/>
      <c r="I2" s="61"/>
      <c r="J2" s="61"/>
      <c r="K2" s="61"/>
      <c r="L2" s="61"/>
      <c r="M2" s="61"/>
      <c r="N2" s="61"/>
    </row>
    <row r="3" spans="2:17" ht="13">
      <c r="B3" s="63" t="s">
        <v>764</v>
      </c>
      <c r="C3" s="65" t="s">
        <v>765</v>
      </c>
      <c r="D3" s="67" t="s">
        <v>772</v>
      </c>
      <c r="E3" s="69" t="s">
        <v>773</v>
      </c>
      <c r="F3" s="70"/>
      <c r="G3" s="70"/>
      <c r="H3" s="70"/>
      <c r="I3" s="70"/>
      <c r="J3" s="70"/>
      <c r="K3" s="70"/>
      <c r="L3" s="70"/>
      <c r="M3" s="70"/>
      <c r="N3" s="71"/>
      <c r="Q3" s="60" t="s">
        <v>774</v>
      </c>
    </row>
    <row r="4" spans="2:17" ht="13">
      <c r="B4" s="64"/>
      <c r="C4" s="66"/>
      <c r="D4" s="68"/>
      <c r="E4" s="72" t="e">
        <f>#REF!</f>
        <v>#REF!</v>
      </c>
      <c r="F4" s="73"/>
      <c r="G4" s="74" t="e">
        <f>#REF!</f>
        <v>#REF!</v>
      </c>
      <c r="H4" s="73"/>
      <c r="I4" s="74" t="e">
        <f>#REF!</f>
        <v>#REF!</v>
      </c>
      <c r="J4" s="73"/>
      <c r="K4" s="74" t="e">
        <f>#REF!</f>
        <v>#REF!</v>
      </c>
      <c r="L4" s="73"/>
      <c r="M4" s="74" t="e">
        <f>#REF!</f>
        <v>#REF!</v>
      </c>
      <c r="N4" s="75"/>
      <c r="Q4" s="61"/>
    </row>
    <row r="5" spans="2:17" ht="12.5">
      <c r="B5" s="32" t="str">
        <f ca="1">IFERROR(__xludf.DUMMYFUNCTION("FILTER('振込一覧（確認用）'!U4:AG1344, ROW('振込一覧（確認用）'!U4:U1344) &gt; 0)"),"")</f>
        <v/>
      </c>
      <c r="C5" s="33" t="str">
        <f ca="1">IFERROR(__xludf.DUMMYFUNCTION("""COMPUTED_VALUE"""),"")</f>
        <v/>
      </c>
      <c r="D5" s="34" t="str">
        <f ca="1">IFERROR(__xludf.DUMMYFUNCTION("""COMPUTED_VALUE"""),"")</f>
        <v/>
      </c>
      <c r="E5" s="35" t="str">
        <f ca="1">IFERROR(__xludf.DUMMYFUNCTION("""COMPUTED_VALUE"""),"")</f>
        <v/>
      </c>
      <c r="F5" s="36" t="str">
        <f ca="1">IFERROR(__xludf.DUMMYFUNCTION("""COMPUTED_VALUE"""),"")</f>
        <v/>
      </c>
      <c r="G5" s="37" t="str">
        <f ca="1">IFERROR(__xludf.DUMMYFUNCTION("""COMPUTED_VALUE"""),"")</f>
        <v/>
      </c>
      <c r="H5" s="36" t="str">
        <f ca="1">IFERROR(__xludf.DUMMYFUNCTION("""COMPUTED_VALUE"""),"")</f>
        <v/>
      </c>
      <c r="I5" s="37" t="str">
        <f ca="1">IFERROR(__xludf.DUMMYFUNCTION("""COMPUTED_VALUE"""),"")</f>
        <v/>
      </c>
      <c r="J5" s="36" t="str">
        <f ca="1">IFERROR(__xludf.DUMMYFUNCTION("""COMPUTED_VALUE"""),"")</f>
        <v/>
      </c>
      <c r="K5" s="37" t="str">
        <f ca="1">IFERROR(__xludf.DUMMYFUNCTION("""COMPUTED_VALUE"""),"")</f>
        <v/>
      </c>
      <c r="L5" s="36" t="str">
        <f ca="1">IFERROR(__xludf.DUMMYFUNCTION("""COMPUTED_VALUE"""),"")</f>
        <v/>
      </c>
      <c r="M5" s="37" t="str">
        <f ca="1">IFERROR(__xludf.DUMMYFUNCTION("""COMPUTED_VALUE"""),"")</f>
        <v/>
      </c>
      <c r="N5" s="38" t="str">
        <f ca="1">IFERROR(__xludf.DUMMYFUNCTION("""COMPUTED_VALUE"""),"")</f>
        <v/>
      </c>
      <c r="Q5" s="61"/>
    </row>
    <row r="6" spans="2:17" ht="12.5">
      <c r="B6" s="32"/>
      <c r="C6" s="33" t="str">
        <f ca="1">IFERROR(__xludf.DUMMYFUNCTION("""COMPUTED_VALUE"""),"")</f>
        <v/>
      </c>
      <c r="D6" s="34" t="str">
        <f ca="1">IFERROR(__xludf.DUMMYFUNCTION("""COMPUTED_VALUE"""),"")</f>
        <v/>
      </c>
      <c r="E6" s="39" t="str">
        <f ca="1">IFERROR(__xludf.DUMMYFUNCTION("""COMPUTED_VALUE"""),"")</f>
        <v/>
      </c>
      <c r="F6" s="28" t="str">
        <f ca="1">IFERROR(__xludf.DUMMYFUNCTION("""COMPUTED_VALUE"""),"")</f>
        <v/>
      </c>
      <c r="G6" s="27" t="str">
        <f ca="1">IFERROR(__xludf.DUMMYFUNCTION("""COMPUTED_VALUE"""),"")</f>
        <v/>
      </c>
      <c r="H6" s="28" t="str">
        <f ca="1">IFERROR(__xludf.DUMMYFUNCTION("""COMPUTED_VALUE"""),"")</f>
        <v/>
      </c>
      <c r="I6" s="27" t="str">
        <f ca="1">IFERROR(__xludf.DUMMYFUNCTION("""COMPUTED_VALUE"""),"")</f>
        <v/>
      </c>
      <c r="J6" s="28" t="str">
        <f ca="1">IFERROR(__xludf.DUMMYFUNCTION("""COMPUTED_VALUE"""),"")</f>
        <v/>
      </c>
      <c r="K6" s="27" t="str">
        <f ca="1">IFERROR(__xludf.DUMMYFUNCTION("""COMPUTED_VALUE"""),"")</f>
        <v/>
      </c>
      <c r="L6" s="28" t="str">
        <f ca="1">IFERROR(__xludf.DUMMYFUNCTION("""COMPUTED_VALUE"""),"")</f>
        <v/>
      </c>
      <c r="M6" s="27" t="str">
        <f ca="1">IFERROR(__xludf.DUMMYFUNCTION("""COMPUTED_VALUE"""),"")</f>
        <v/>
      </c>
      <c r="N6" s="40" t="str">
        <f ca="1">IFERROR(__xludf.DUMMYFUNCTION("""COMPUTED_VALUE"""),"")</f>
        <v/>
      </c>
      <c r="Q6" s="61"/>
    </row>
    <row r="7" spans="2:17" ht="12.5">
      <c r="B7" s="32"/>
      <c r="C7" s="33" t="str">
        <f ca="1">IFERROR(__xludf.DUMMYFUNCTION("""COMPUTED_VALUE"""),"")</f>
        <v/>
      </c>
      <c r="D7" s="34" t="str">
        <f ca="1">IFERROR(__xludf.DUMMYFUNCTION("""COMPUTED_VALUE"""),"")</f>
        <v/>
      </c>
      <c r="E7" s="39" t="str">
        <f ca="1">IFERROR(__xludf.DUMMYFUNCTION("""COMPUTED_VALUE"""),"")</f>
        <v/>
      </c>
      <c r="F7" s="28" t="str">
        <f ca="1">IFERROR(__xludf.DUMMYFUNCTION("""COMPUTED_VALUE"""),"")</f>
        <v/>
      </c>
      <c r="G7" s="27" t="str">
        <f ca="1">IFERROR(__xludf.DUMMYFUNCTION("""COMPUTED_VALUE"""),"")</f>
        <v/>
      </c>
      <c r="H7" s="28" t="str">
        <f ca="1">IFERROR(__xludf.DUMMYFUNCTION("""COMPUTED_VALUE"""),"")</f>
        <v/>
      </c>
      <c r="I7" s="27" t="str">
        <f ca="1">IFERROR(__xludf.DUMMYFUNCTION("""COMPUTED_VALUE"""),"")</f>
        <v/>
      </c>
      <c r="J7" s="28" t="str">
        <f ca="1">IFERROR(__xludf.DUMMYFUNCTION("""COMPUTED_VALUE"""),"")</f>
        <v/>
      </c>
      <c r="K7" s="27" t="str">
        <f ca="1">IFERROR(__xludf.DUMMYFUNCTION("""COMPUTED_VALUE"""),"")</f>
        <v/>
      </c>
      <c r="L7" s="28" t="str">
        <f ca="1">IFERROR(__xludf.DUMMYFUNCTION("""COMPUTED_VALUE"""),"")</f>
        <v/>
      </c>
      <c r="M7" s="27" t="str">
        <f ca="1">IFERROR(__xludf.DUMMYFUNCTION("""COMPUTED_VALUE"""),"")</f>
        <v/>
      </c>
      <c r="N7" s="40" t="str">
        <f ca="1">IFERROR(__xludf.DUMMYFUNCTION("""COMPUTED_VALUE"""),"")</f>
        <v/>
      </c>
      <c r="Q7" s="61"/>
    </row>
    <row r="8" spans="2:17" ht="12.5">
      <c r="B8" s="32"/>
      <c r="C8" s="33" t="str">
        <f ca="1">IFERROR(__xludf.DUMMYFUNCTION("""COMPUTED_VALUE"""),"")</f>
        <v/>
      </c>
      <c r="D8" s="34" t="str">
        <f ca="1">IFERROR(__xludf.DUMMYFUNCTION("""COMPUTED_VALUE"""),"")</f>
        <v/>
      </c>
      <c r="E8" s="39" t="str">
        <f ca="1">IFERROR(__xludf.DUMMYFUNCTION("""COMPUTED_VALUE"""),"")</f>
        <v/>
      </c>
      <c r="F8" s="28" t="str">
        <f ca="1">IFERROR(__xludf.DUMMYFUNCTION("""COMPUTED_VALUE"""),"")</f>
        <v/>
      </c>
      <c r="G8" s="27" t="str">
        <f ca="1">IFERROR(__xludf.DUMMYFUNCTION("""COMPUTED_VALUE"""),"")</f>
        <v/>
      </c>
      <c r="H8" s="28" t="str">
        <f ca="1">IFERROR(__xludf.DUMMYFUNCTION("""COMPUTED_VALUE"""),"")</f>
        <v/>
      </c>
      <c r="I8" s="27" t="str">
        <f ca="1">IFERROR(__xludf.DUMMYFUNCTION("""COMPUTED_VALUE"""),"")</f>
        <v/>
      </c>
      <c r="J8" s="28" t="str">
        <f ca="1">IFERROR(__xludf.DUMMYFUNCTION("""COMPUTED_VALUE"""),"")</f>
        <v/>
      </c>
      <c r="K8" s="27" t="str">
        <f ca="1">IFERROR(__xludf.DUMMYFUNCTION("""COMPUTED_VALUE"""),"")</f>
        <v/>
      </c>
      <c r="L8" s="28" t="str">
        <f ca="1">IFERROR(__xludf.DUMMYFUNCTION("""COMPUTED_VALUE"""),"")</f>
        <v/>
      </c>
      <c r="M8" s="27" t="str">
        <f ca="1">IFERROR(__xludf.DUMMYFUNCTION("""COMPUTED_VALUE"""),"")</f>
        <v/>
      </c>
      <c r="N8" s="40" t="str">
        <f ca="1">IFERROR(__xludf.DUMMYFUNCTION("""COMPUTED_VALUE"""),"")</f>
        <v/>
      </c>
      <c r="Q8" s="61"/>
    </row>
    <row r="9" spans="2:17" ht="12.5">
      <c r="B9" s="32"/>
      <c r="C9" s="33" t="str">
        <f ca="1">IFERROR(__xludf.DUMMYFUNCTION("""COMPUTED_VALUE"""),"")</f>
        <v/>
      </c>
      <c r="D9" s="34" t="str">
        <f ca="1">IFERROR(__xludf.DUMMYFUNCTION("""COMPUTED_VALUE"""),"")</f>
        <v/>
      </c>
      <c r="E9" s="39" t="str">
        <f ca="1">IFERROR(__xludf.DUMMYFUNCTION("""COMPUTED_VALUE"""),"")</f>
        <v/>
      </c>
      <c r="F9" s="28" t="str">
        <f ca="1">IFERROR(__xludf.DUMMYFUNCTION("""COMPUTED_VALUE"""),"")</f>
        <v/>
      </c>
      <c r="G9" s="27" t="str">
        <f ca="1">IFERROR(__xludf.DUMMYFUNCTION("""COMPUTED_VALUE"""),"")</f>
        <v/>
      </c>
      <c r="H9" s="28" t="str">
        <f ca="1">IFERROR(__xludf.DUMMYFUNCTION("""COMPUTED_VALUE"""),"")</f>
        <v/>
      </c>
      <c r="I9" s="27" t="str">
        <f ca="1">IFERROR(__xludf.DUMMYFUNCTION("""COMPUTED_VALUE"""),"")</f>
        <v/>
      </c>
      <c r="J9" s="28" t="str">
        <f ca="1">IFERROR(__xludf.DUMMYFUNCTION("""COMPUTED_VALUE"""),"")</f>
        <v/>
      </c>
      <c r="K9" s="27" t="str">
        <f ca="1">IFERROR(__xludf.DUMMYFUNCTION("""COMPUTED_VALUE"""),"")</f>
        <v/>
      </c>
      <c r="L9" s="28" t="str">
        <f ca="1">IFERROR(__xludf.DUMMYFUNCTION("""COMPUTED_VALUE"""),"")</f>
        <v/>
      </c>
      <c r="M9" s="27" t="str">
        <f ca="1">IFERROR(__xludf.DUMMYFUNCTION("""COMPUTED_VALUE"""),"")</f>
        <v/>
      </c>
      <c r="N9" s="40" t="str">
        <f ca="1">IFERROR(__xludf.DUMMYFUNCTION("""COMPUTED_VALUE"""),"")</f>
        <v/>
      </c>
      <c r="Q9" s="61"/>
    </row>
    <row r="10" spans="2:17" ht="12.5">
      <c r="B10" s="32"/>
      <c r="C10" s="33" t="str">
        <f ca="1">IFERROR(__xludf.DUMMYFUNCTION("""COMPUTED_VALUE"""),"")</f>
        <v/>
      </c>
      <c r="D10" s="34" t="str">
        <f ca="1">IFERROR(__xludf.DUMMYFUNCTION("""COMPUTED_VALUE"""),"")</f>
        <v/>
      </c>
      <c r="E10" s="39" t="str">
        <f ca="1">IFERROR(__xludf.DUMMYFUNCTION("""COMPUTED_VALUE"""),"")</f>
        <v/>
      </c>
      <c r="F10" s="28" t="str">
        <f ca="1">IFERROR(__xludf.DUMMYFUNCTION("""COMPUTED_VALUE"""),"")</f>
        <v/>
      </c>
      <c r="G10" s="27" t="str">
        <f ca="1">IFERROR(__xludf.DUMMYFUNCTION("""COMPUTED_VALUE"""),"")</f>
        <v/>
      </c>
      <c r="H10" s="28" t="str">
        <f ca="1">IFERROR(__xludf.DUMMYFUNCTION("""COMPUTED_VALUE"""),"")</f>
        <v/>
      </c>
      <c r="I10" s="27" t="str">
        <f ca="1">IFERROR(__xludf.DUMMYFUNCTION("""COMPUTED_VALUE"""),"")</f>
        <v/>
      </c>
      <c r="J10" s="28" t="str">
        <f ca="1">IFERROR(__xludf.DUMMYFUNCTION("""COMPUTED_VALUE"""),"")</f>
        <v/>
      </c>
      <c r="K10" s="27" t="str">
        <f ca="1">IFERROR(__xludf.DUMMYFUNCTION("""COMPUTED_VALUE"""),"")</f>
        <v/>
      </c>
      <c r="L10" s="28" t="str">
        <f ca="1">IFERROR(__xludf.DUMMYFUNCTION("""COMPUTED_VALUE"""),"")</f>
        <v/>
      </c>
      <c r="M10" s="27" t="str">
        <f ca="1">IFERROR(__xludf.DUMMYFUNCTION("""COMPUTED_VALUE"""),"")</f>
        <v/>
      </c>
      <c r="N10" s="40" t="str">
        <f ca="1">IFERROR(__xludf.DUMMYFUNCTION("""COMPUTED_VALUE"""),"")</f>
        <v/>
      </c>
    </row>
    <row r="11" spans="2:17" ht="12.5">
      <c r="B11" s="32"/>
      <c r="C11" s="33" t="str">
        <f ca="1">IFERROR(__xludf.DUMMYFUNCTION("""COMPUTED_VALUE"""),"")</f>
        <v/>
      </c>
      <c r="D11" s="34" t="str">
        <f ca="1">IFERROR(__xludf.DUMMYFUNCTION("""COMPUTED_VALUE"""),"")</f>
        <v/>
      </c>
      <c r="E11" s="39" t="str">
        <f ca="1">IFERROR(__xludf.DUMMYFUNCTION("""COMPUTED_VALUE"""),"")</f>
        <v/>
      </c>
      <c r="F11" s="28" t="str">
        <f ca="1">IFERROR(__xludf.DUMMYFUNCTION("""COMPUTED_VALUE"""),"")</f>
        <v/>
      </c>
      <c r="G11" s="27" t="str">
        <f ca="1">IFERROR(__xludf.DUMMYFUNCTION("""COMPUTED_VALUE"""),"")</f>
        <v/>
      </c>
      <c r="H11" s="28" t="str">
        <f ca="1">IFERROR(__xludf.DUMMYFUNCTION("""COMPUTED_VALUE"""),"")</f>
        <v/>
      </c>
      <c r="I11" s="27" t="str">
        <f ca="1">IFERROR(__xludf.DUMMYFUNCTION("""COMPUTED_VALUE"""),"")</f>
        <v/>
      </c>
      <c r="J11" s="28" t="str">
        <f ca="1">IFERROR(__xludf.DUMMYFUNCTION("""COMPUTED_VALUE"""),"")</f>
        <v/>
      </c>
      <c r="K11" s="27" t="str">
        <f ca="1">IFERROR(__xludf.DUMMYFUNCTION("""COMPUTED_VALUE"""),"")</f>
        <v/>
      </c>
      <c r="L11" s="28" t="str">
        <f ca="1">IFERROR(__xludf.DUMMYFUNCTION("""COMPUTED_VALUE"""),"")</f>
        <v/>
      </c>
      <c r="M11" s="27" t="str">
        <f ca="1">IFERROR(__xludf.DUMMYFUNCTION("""COMPUTED_VALUE"""),"")</f>
        <v/>
      </c>
      <c r="N11" s="40" t="str">
        <f ca="1">IFERROR(__xludf.DUMMYFUNCTION("""COMPUTED_VALUE"""),"")</f>
        <v/>
      </c>
    </row>
    <row r="12" spans="2:17" ht="12.5">
      <c r="B12" s="32"/>
      <c r="C12" s="33" t="str">
        <f ca="1">IFERROR(__xludf.DUMMYFUNCTION("""COMPUTED_VALUE"""),"")</f>
        <v/>
      </c>
      <c r="D12" s="34" t="str">
        <f ca="1">IFERROR(__xludf.DUMMYFUNCTION("""COMPUTED_VALUE"""),"")</f>
        <v/>
      </c>
      <c r="E12" s="39" t="str">
        <f ca="1">IFERROR(__xludf.DUMMYFUNCTION("""COMPUTED_VALUE"""),"")</f>
        <v/>
      </c>
      <c r="F12" s="28" t="str">
        <f ca="1">IFERROR(__xludf.DUMMYFUNCTION("""COMPUTED_VALUE"""),"")</f>
        <v/>
      </c>
      <c r="G12" s="27" t="str">
        <f ca="1">IFERROR(__xludf.DUMMYFUNCTION("""COMPUTED_VALUE"""),"")</f>
        <v/>
      </c>
      <c r="H12" s="28" t="str">
        <f ca="1">IFERROR(__xludf.DUMMYFUNCTION("""COMPUTED_VALUE"""),"")</f>
        <v/>
      </c>
      <c r="I12" s="27" t="str">
        <f ca="1">IFERROR(__xludf.DUMMYFUNCTION("""COMPUTED_VALUE"""),"")</f>
        <v/>
      </c>
      <c r="J12" s="28" t="str">
        <f ca="1">IFERROR(__xludf.DUMMYFUNCTION("""COMPUTED_VALUE"""),"")</f>
        <v/>
      </c>
      <c r="K12" s="27" t="str">
        <f ca="1">IFERROR(__xludf.DUMMYFUNCTION("""COMPUTED_VALUE"""),"")</f>
        <v/>
      </c>
      <c r="L12" s="28" t="str">
        <f ca="1">IFERROR(__xludf.DUMMYFUNCTION("""COMPUTED_VALUE"""),"")</f>
        <v/>
      </c>
      <c r="M12" s="27" t="str">
        <f ca="1">IFERROR(__xludf.DUMMYFUNCTION("""COMPUTED_VALUE"""),"")</f>
        <v/>
      </c>
      <c r="N12" s="40" t="str">
        <f ca="1">IFERROR(__xludf.DUMMYFUNCTION("""COMPUTED_VALUE"""),"")</f>
        <v/>
      </c>
    </row>
    <row r="13" spans="2:17" ht="12.5">
      <c r="B13" s="32"/>
      <c r="C13" s="33" t="str">
        <f ca="1">IFERROR(__xludf.DUMMYFUNCTION("""COMPUTED_VALUE"""),"")</f>
        <v/>
      </c>
      <c r="D13" s="34" t="str">
        <f ca="1">IFERROR(__xludf.DUMMYFUNCTION("""COMPUTED_VALUE"""),"")</f>
        <v/>
      </c>
      <c r="E13" s="39" t="str">
        <f ca="1">IFERROR(__xludf.DUMMYFUNCTION("""COMPUTED_VALUE"""),"")</f>
        <v/>
      </c>
      <c r="F13" s="28" t="str">
        <f ca="1">IFERROR(__xludf.DUMMYFUNCTION("""COMPUTED_VALUE"""),"")</f>
        <v/>
      </c>
      <c r="G13" s="27" t="str">
        <f ca="1">IFERROR(__xludf.DUMMYFUNCTION("""COMPUTED_VALUE"""),"")</f>
        <v/>
      </c>
      <c r="H13" s="28" t="str">
        <f ca="1">IFERROR(__xludf.DUMMYFUNCTION("""COMPUTED_VALUE"""),"")</f>
        <v/>
      </c>
      <c r="I13" s="27" t="str">
        <f ca="1">IFERROR(__xludf.DUMMYFUNCTION("""COMPUTED_VALUE"""),"")</f>
        <v/>
      </c>
      <c r="J13" s="28" t="str">
        <f ca="1">IFERROR(__xludf.DUMMYFUNCTION("""COMPUTED_VALUE"""),"")</f>
        <v/>
      </c>
      <c r="K13" s="27" t="str">
        <f ca="1">IFERROR(__xludf.DUMMYFUNCTION("""COMPUTED_VALUE"""),"")</f>
        <v/>
      </c>
      <c r="L13" s="28" t="str">
        <f ca="1">IFERROR(__xludf.DUMMYFUNCTION("""COMPUTED_VALUE"""),"")</f>
        <v/>
      </c>
      <c r="M13" s="27" t="str">
        <f ca="1">IFERROR(__xludf.DUMMYFUNCTION("""COMPUTED_VALUE"""),"")</f>
        <v/>
      </c>
      <c r="N13" s="40" t="str">
        <f ca="1">IFERROR(__xludf.DUMMYFUNCTION("""COMPUTED_VALUE"""),"")</f>
        <v/>
      </c>
    </row>
    <row r="14" spans="2:17" ht="12.5">
      <c r="B14" s="32"/>
      <c r="C14" s="33" t="str">
        <f ca="1">IFERROR(__xludf.DUMMYFUNCTION("""COMPUTED_VALUE"""),"")</f>
        <v/>
      </c>
      <c r="D14" s="34" t="str">
        <f ca="1">IFERROR(__xludf.DUMMYFUNCTION("""COMPUTED_VALUE"""),"")</f>
        <v/>
      </c>
      <c r="E14" s="39" t="str">
        <f ca="1">IFERROR(__xludf.DUMMYFUNCTION("""COMPUTED_VALUE"""),"")</f>
        <v/>
      </c>
      <c r="F14" s="28" t="str">
        <f ca="1">IFERROR(__xludf.DUMMYFUNCTION("""COMPUTED_VALUE"""),"")</f>
        <v/>
      </c>
      <c r="G14" s="27" t="str">
        <f ca="1">IFERROR(__xludf.DUMMYFUNCTION("""COMPUTED_VALUE"""),"")</f>
        <v/>
      </c>
      <c r="H14" s="28" t="str">
        <f ca="1">IFERROR(__xludf.DUMMYFUNCTION("""COMPUTED_VALUE"""),"")</f>
        <v/>
      </c>
      <c r="I14" s="27" t="str">
        <f ca="1">IFERROR(__xludf.DUMMYFUNCTION("""COMPUTED_VALUE"""),"")</f>
        <v/>
      </c>
      <c r="J14" s="28" t="str">
        <f ca="1">IFERROR(__xludf.DUMMYFUNCTION("""COMPUTED_VALUE"""),"")</f>
        <v/>
      </c>
      <c r="K14" s="27" t="str">
        <f ca="1">IFERROR(__xludf.DUMMYFUNCTION("""COMPUTED_VALUE"""),"")</f>
        <v/>
      </c>
      <c r="L14" s="28" t="str">
        <f ca="1">IFERROR(__xludf.DUMMYFUNCTION("""COMPUTED_VALUE"""),"")</f>
        <v/>
      </c>
      <c r="M14" s="27" t="str">
        <f ca="1">IFERROR(__xludf.DUMMYFUNCTION("""COMPUTED_VALUE"""),"")</f>
        <v/>
      </c>
      <c r="N14" s="40" t="str">
        <f ca="1">IFERROR(__xludf.DUMMYFUNCTION("""COMPUTED_VALUE"""),"")</f>
        <v/>
      </c>
    </row>
    <row r="15" spans="2:17" ht="12.5">
      <c r="B15" s="32"/>
      <c r="C15" s="33" t="str">
        <f ca="1">IFERROR(__xludf.DUMMYFUNCTION("""COMPUTED_VALUE"""),"")</f>
        <v/>
      </c>
      <c r="D15" s="34" t="str">
        <f ca="1">IFERROR(__xludf.DUMMYFUNCTION("""COMPUTED_VALUE"""),"")</f>
        <v/>
      </c>
      <c r="E15" s="39" t="str">
        <f ca="1">IFERROR(__xludf.DUMMYFUNCTION("""COMPUTED_VALUE"""),"")</f>
        <v/>
      </c>
      <c r="F15" s="28" t="str">
        <f ca="1">IFERROR(__xludf.DUMMYFUNCTION("""COMPUTED_VALUE"""),"")</f>
        <v/>
      </c>
      <c r="G15" s="27" t="str">
        <f ca="1">IFERROR(__xludf.DUMMYFUNCTION("""COMPUTED_VALUE"""),"")</f>
        <v/>
      </c>
      <c r="H15" s="28" t="str">
        <f ca="1">IFERROR(__xludf.DUMMYFUNCTION("""COMPUTED_VALUE"""),"")</f>
        <v/>
      </c>
      <c r="I15" s="27" t="str">
        <f ca="1">IFERROR(__xludf.DUMMYFUNCTION("""COMPUTED_VALUE"""),"")</f>
        <v/>
      </c>
      <c r="J15" s="28" t="str">
        <f ca="1">IFERROR(__xludf.DUMMYFUNCTION("""COMPUTED_VALUE"""),"")</f>
        <v/>
      </c>
      <c r="K15" s="27" t="str">
        <f ca="1">IFERROR(__xludf.DUMMYFUNCTION("""COMPUTED_VALUE"""),"")</f>
        <v/>
      </c>
      <c r="L15" s="28" t="str">
        <f ca="1">IFERROR(__xludf.DUMMYFUNCTION("""COMPUTED_VALUE"""),"")</f>
        <v/>
      </c>
      <c r="M15" s="27" t="str">
        <f ca="1">IFERROR(__xludf.DUMMYFUNCTION("""COMPUTED_VALUE"""),"")</f>
        <v/>
      </c>
      <c r="N15" s="40" t="str">
        <f ca="1">IFERROR(__xludf.DUMMYFUNCTION("""COMPUTED_VALUE"""),"")</f>
        <v/>
      </c>
    </row>
    <row r="16" spans="2:17" ht="12.5">
      <c r="B16" s="32"/>
      <c r="C16" s="33" t="str">
        <f ca="1">IFERROR(__xludf.DUMMYFUNCTION("""COMPUTED_VALUE"""),"")</f>
        <v/>
      </c>
      <c r="D16" s="34" t="str">
        <f ca="1">IFERROR(__xludf.DUMMYFUNCTION("""COMPUTED_VALUE"""),"")</f>
        <v/>
      </c>
      <c r="E16" s="39" t="str">
        <f ca="1">IFERROR(__xludf.DUMMYFUNCTION("""COMPUTED_VALUE"""),"")</f>
        <v/>
      </c>
      <c r="F16" s="28" t="str">
        <f ca="1">IFERROR(__xludf.DUMMYFUNCTION("""COMPUTED_VALUE"""),"")</f>
        <v/>
      </c>
      <c r="G16" s="27" t="str">
        <f ca="1">IFERROR(__xludf.DUMMYFUNCTION("""COMPUTED_VALUE"""),"")</f>
        <v/>
      </c>
      <c r="H16" s="28" t="str">
        <f ca="1">IFERROR(__xludf.DUMMYFUNCTION("""COMPUTED_VALUE"""),"")</f>
        <v/>
      </c>
      <c r="I16" s="27" t="str">
        <f ca="1">IFERROR(__xludf.DUMMYFUNCTION("""COMPUTED_VALUE"""),"")</f>
        <v/>
      </c>
      <c r="J16" s="28" t="str">
        <f ca="1">IFERROR(__xludf.DUMMYFUNCTION("""COMPUTED_VALUE"""),"")</f>
        <v/>
      </c>
      <c r="K16" s="27" t="str">
        <f ca="1">IFERROR(__xludf.DUMMYFUNCTION("""COMPUTED_VALUE"""),"")</f>
        <v/>
      </c>
      <c r="L16" s="28" t="str">
        <f ca="1">IFERROR(__xludf.DUMMYFUNCTION("""COMPUTED_VALUE"""),"")</f>
        <v/>
      </c>
      <c r="M16" s="27" t="str">
        <f ca="1">IFERROR(__xludf.DUMMYFUNCTION("""COMPUTED_VALUE"""),"")</f>
        <v/>
      </c>
      <c r="N16" s="40" t="str">
        <f ca="1">IFERROR(__xludf.DUMMYFUNCTION("""COMPUTED_VALUE"""),"")</f>
        <v/>
      </c>
    </row>
    <row r="17" spans="2:14" ht="12.5">
      <c r="B17" s="32"/>
      <c r="C17" s="33" t="str">
        <f ca="1">IFERROR(__xludf.DUMMYFUNCTION("""COMPUTED_VALUE"""),"")</f>
        <v/>
      </c>
      <c r="D17" s="34" t="str">
        <f ca="1">IFERROR(__xludf.DUMMYFUNCTION("""COMPUTED_VALUE"""),"")</f>
        <v/>
      </c>
      <c r="E17" s="39" t="str">
        <f ca="1">IFERROR(__xludf.DUMMYFUNCTION("""COMPUTED_VALUE"""),"")</f>
        <v/>
      </c>
      <c r="F17" s="28" t="str">
        <f ca="1">IFERROR(__xludf.DUMMYFUNCTION("""COMPUTED_VALUE"""),"")</f>
        <v/>
      </c>
      <c r="G17" s="27" t="str">
        <f ca="1">IFERROR(__xludf.DUMMYFUNCTION("""COMPUTED_VALUE"""),"")</f>
        <v/>
      </c>
      <c r="H17" s="28" t="str">
        <f ca="1">IFERROR(__xludf.DUMMYFUNCTION("""COMPUTED_VALUE"""),"")</f>
        <v/>
      </c>
      <c r="I17" s="27" t="str">
        <f ca="1">IFERROR(__xludf.DUMMYFUNCTION("""COMPUTED_VALUE"""),"")</f>
        <v/>
      </c>
      <c r="J17" s="28" t="str">
        <f ca="1">IFERROR(__xludf.DUMMYFUNCTION("""COMPUTED_VALUE"""),"")</f>
        <v/>
      </c>
      <c r="K17" s="27" t="str">
        <f ca="1">IFERROR(__xludf.DUMMYFUNCTION("""COMPUTED_VALUE"""),"")</f>
        <v/>
      </c>
      <c r="L17" s="28" t="str">
        <f ca="1">IFERROR(__xludf.DUMMYFUNCTION("""COMPUTED_VALUE"""),"")</f>
        <v/>
      </c>
      <c r="M17" s="27" t="str">
        <f ca="1">IFERROR(__xludf.DUMMYFUNCTION("""COMPUTED_VALUE"""),"")</f>
        <v/>
      </c>
      <c r="N17" s="40" t="str">
        <f ca="1">IFERROR(__xludf.DUMMYFUNCTION("""COMPUTED_VALUE"""),"")</f>
        <v/>
      </c>
    </row>
    <row r="18" spans="2:14" ht="12.5">
      <c r="B18" s="32"/>
      <c r="C18" s="33" t="str">
        <f ca="1">IFERROR(__xludf.DUMMYFUNCTION("""COMPUTED_VALUE"""),"")</f>
        <v/>
      </c>
      <c r="D18" s="34" t="str">
        <f ca="1">IFERROR(__xludf.DUMMYFUNCTION("""COMPUTED_VALUE"""),"")</f>
        <v/>
      </c>
      <c r="E18" s="39" t="str">
        <f ca="1">IFERROR(__xludf.DUMMYFUNCTION("""COMPUTED_VALUE"""),"")</f>
        <v/>
      </c>
      <c r="F18" s="28" t="str">
        <f ca="1">IFERROR(__xludf.DUMMYFUNCTION("""COMPUTED_VALUE"""),"")</f>
        <v/>
      </c>
      <c r="G18" s="27" t="str">
        <f ca="1">IFERROR(__xludf.DUMMYFUNCTION("""COMPUTED_VALUE"""),"")</f>
        <v/>
      </c>
      <c r="H18" s="28" t="str">
        <f ca="1">IFERROR(__xludf.DUMMYFUNCTION("""COMPUTED_VALUE"""),"")</f>
        <v/>
      </c>
      <c r="I18" s="27" t="str">
        <f ca="1">IFERROR(__xludf.DUMMYFUNCTION("""COMPUTED_VALUE"""),"")</f>
        <v/>
      </c>
      <c r="J18" s="28" t="str">
        <f ca="1">IFERROR(__xludf.DUMMYFUNCTION("""COMPUTED_VALUE"""),"")</f>
        <v/>
      </c>
      <c r="K18" s="27" t="str">
        <f ca="1">IFERROR(__xludf.DUMMYFUNCTION("""COMPUTED_VALUE"""),"")</f>
        <v/>
      </c>
      <c r="L18" s="28" t="str">
        <f ca="1">IFERROR(__xludf.DUMMYFUNCTION("""COMPUTED_VALUE"""),"")</f>
        <v/>
      </c>
      <c r="M18" s="27" t="str">
        <f ca="1">IFERROR(__xludf.DUMMYFUNCTION("""COMPUTED_VALUE"""),"")</f>
        <v/>
      </c>
      <c r="N18" s="40" t="str">
        <f ca="1">IFERROR(__xludf.DUMMYFUNCTION("""COMPUTED_VALUE"""),"")</f>
        <v/>
      </c>
    </row>
    <row r="19" spans="2:14" ht="12.5">
      <c r="B19" s="32"/>
      <c r="C19" s="33" t="str">
        <f ca="1">IFERROR(__xludf.DUMMYFUNCTION("""COMPUTED_VALUE"""),"")</f>
        <v/>
      </c>
      <c r="D19" s="34" t="str">
        <f ca="1">IFERROR(__xludf.DUMMYFUNCTION("""COMPUTED_VALUE"""),"")</f>
        <v/>
      </c>
      <c r="E19" s="39" t="str">
        <f ca="1">IFERROR(__xludf.DUMMYFUNCTION("""COMPUTED_VALUE"""),"")</f>
        <v/>
      </c>
      <c r="F19" s="28" t="str">
        <f ca="1">IFERROR(__xludf.DUMMYFUNCTION("""COMPUTED_VALUE"""),"")</f>
        <v/>
      </c>
      <c r="G19" s="27" t="str">
        <f ca="1">IFERROR(__xludf.DUMMYFUNCTION("""COMPUTED_VALUE"""),"")</f>
        <v/>
      </c>
      <c r="H19" s="28" t="str">
        <f ca="1">IFERROR(__xludf.DUMMYFUNCTION("""COMPUTED_VALUE"""),"")</f>
        <v/>
      </c>
      <c r="I19" s="27" t="str">
        <f ca="1">IFERROR(__xludf.DUMMYFUNCTION("""COMPUTED_VALUE"""),"")</f>
        <v/>
      </c>
      <c r="J19" s="28" t="str">
        <f ca="1">IFERROR(__xludf.DUMMYFUNCTION("""COMPUTED_VALUE"""),"")</f>
        <v/>
      </c>
      <c r="K19" s="27" t="str">
        <f ca="1">IFERROR(__xludf.DUMMYFUNCTION("""COMPUTED_VALUE"""),"")</f>
        <v/>
      </c>
      <c r="L19" s="28" t="str">
        <f ca="1">IFERROR(__xludf.DUMMYFUNCTION("""COMPUTED_VALUE"""),"")</f>
        <v/>
      </c>
      <c r="M19" s="27" t="str">
        <f ca="1">IFERROR(__xludf.DUMMYFUNCTION("""COMPUTED_VALUE"""),"")</f>
        <v/>
      </c>
      <c r="N19" s="40" t="str">
        <f ca="1">IFERROR(__xludf.DUMMYFUNCTION("""COMPUTED_VALUE"""),"")</f>
        <v/>
      </c>
    </row>
    <row r="20" spans="2:14" ht="12.5">
      <c r="B20" s="32"/>
      <c r="C20" s="33" t="str">
        <f ca="1">IFERROR(__xludf.DUMMYFUNCTION("""COMPUTED_VALUE"""),"")</f>
        <v/>
      </c>
      <c r="D20" s="34" t="str">
        <f ca="1">IFERROR(__xludf.DUMMYFUNCTION("""COMPUTED_VALUE"""),"")</f>
        <v/>
      </c>
      <c r="E20" s="39" t="str">
        <f ca="1">IFERROR(__xludf.DUMMYFUNCTION("""COMPUTED_VALUE"""),"")</f>
        <v/>
      </c>
      <c r="F20" s="28" t="str">
        <f ca="1">IFERROR(__xludf.DUMMYFUNCTION("""COMPUTED_VALUE"""),"")</f>
        <v/>
      </c>
      <c r="G20" s="27" t="str">
        <f ca="1">IFERROR(__xludf.DUMMYFUNCTION("""COMPUTED_VALUE"""),"")</f>
        <v/>
      </c>
      <c r="H20" s="28" t="str">
        <f ca="1">IFERROR(__xludf.DUMMYFUNCTION("""COMPUTED_VALUE"""),"")</f>
        <v/>
      </c>
      <c r="I20" s="27" t="str">
        <f ca="1">IFERROR(__xludf.DUMMYFUNCTION("""COMPUTED_VALUE"""),"")</f>
        <v/>
      </c>
      <c r="J20" s="28" t="str">
        <f ca="1">IFERROR(__xludf.DUMMYFUNCTION("""COMPUTED_VALUE"""),"")</f>
        <v/>
      </c>
      <c r="K20" s="27" t="str">
        <f ca="1">IFERROR(__xludf.DUMMYFUNCTION("""COMPUTED_VALUE"""),"")</f>
        <v/>
      </c>
      <c r="L20" s="28" t="str">
        <f ca="1">IFERROR(__xludf.DUMMYFUNCTION("""COMPUTED_VALUE"""),"")</f>
        <v/>
      </c>
      <c r="M20" s="27" t="str">
        <f ca="1">IFERROR(__xludf.DUMMYFUNCTION("""COMPUTED_VALUE"""),"")</f>
        <v/>
      </c>
      <c r="N20" s="40" t="str">
        <f ca="1">IFERROR(__xludf.DUMMYFUNCTION("""COMPUTED_VALUE"""),"")</f>
        <v/>
      </c>
    </row>
    <row r="21" spans="2:14" ht="12.5">
      <c r="B21" s="32"/>
      <c r="C21" s="33" t="str">
        <f ca="1">IFERROR(__xludf.DUMMYFUNCTION("""COMPUTED_VALUE"""),"")</f>
        <v/>
      </c>
      <c r="D21" s="34" t="str">
        <f ca="1">IFERROR(__xludf.DUMMYFUNCTION("""COMPUTED_VALUE"""),"")</f>
        <v/>
      </c>
      <c r="E21" s="39" t="str">
        <f ca="1">IFERROR(__xludf.DUMMYFUNCTION("""COMPUTED_VALUE"""),"")</f>
        <v/>
      </c>
      <c r="F21" s="28" t="str">
        <f ca="1">IFERROR(__xludf.DUMMYFUNCTION("""COMPUTED_VALUE"""),"")</f>
        <v/>
      </c>
      <c r="G21" s="27" t="str">
        <f ca="1">IFERROR(__xludf.DUMMYFUNCTION("""COMPUTED_VALUE"""),"")</f>
        <v/>
      </c>
      <c r="H21" s="28" t="str">
        <f ca="1">IFERROR(__xludf.DUMMYFUNCTION("""COMPUTED_VALUE"""),"")</f>
        <v/>
      </c>
      <c r="I21" s="27" t="str">
        <f ca="1">IFERROR(__xludf.DUMMYFUNCTION("""COMPUTED_VALUE"""),"")</f>
        <v/>
      </c>
      <c r="J21" s="28" t="str">
        <f ca="1">IFERROR(__xludf.DUMMYFUNCTION("""COMPUTED_VALUE"""),"")</f>
        <v/>
      </c>
      <c r="K21" s="27" t="str">
        <f ca="1">IFERROR(__xludf.DUMMYFUNCTION("""COMPUTED_VALUE"""),"")</f>
        <v/>
      </c>
      <c r="L21" s="28" t="str">
        <f ca="1">IFERROR(__xludf.DUMMYFUNCTION("""COMPUTED_VALUE"""),"")</f>
        <v/>
      </c>
      <c r="M21" s="27" t="str">
        <f ca="1">IFERROR(__xludf.DUMMYFUNCTION("""COMPUTED_VALUE"""),"")</f>
        <v/>
      </c>
      <c r="N21" s="40" t="str">
        <f ca="1">IFERROR(__xludf.DUMMYFUNCTION("""COMPUTED_VALUE"""),"")</f>
        <v/>
      </c>
    </row>
    <row r="22" spans="2:14" ht="12.5">
      <c r="B22" s="32"/>
      <c r="C22" s="33" t="str">
        <f ca="1">IFERROR(__xludf.DUMMYFUNCTION("""COMPUTED_VALUE"""),"")</f>
        <v/>
      </c>
      <c r="D22" s="34" t="str">
        <f ca="1">IFERROR(__xludf.DUMMYFUNCTION("""COMPUTED_VALUE"""),"")</f>
        <v/>
      </c>
      <c r="E22" s="39" t="str">
        <f ca="1">IFERROR(__xludf.DUMMYFUNCTION("""COMPUTED_VALUE"""),"")</f>
        <v/>
      </c>
      <c r="F22" s="28" t="str">
        <f ca="1">IFERROR(__xludf.DUMMYFUNCTION("""COMPUTED_VALUE"""),"")</f>
        <v/>
      </c>
      <c r="G22" s="27" t="str">
        <f ca="1">IFERROR(__xludf.DUMMYFUNCTION("""COMPUTED_VALUE"""),"")</f>
        <v/>
      </c>
      <c r="H22" s="28" t="str">
        <f ca="1">IFERROR(__xludf.DUMMYFUNCTION("""COMPUTED_VALUE"""),"")</f>
        <v/>
      </c>
      <c r="I22" s="27" t="str">
        <f ca="1">IFERROR(__xludf.DUMMYFUNCTION("""COMPUTED_VALUE"""),"")</f>
        <v/>
      </c>
      <c r="J22" s="28" t="str">
        <f ca="1">IFERROR(__xludf.DUMMYFUNCTION("""COMPUTED_VALUE"""),"")</f>
        <v/>
      </c>
      <c r="K22" s="27" t="str">
        <f ca="1">IFERROR(__xludf.DUMMYFUNCTION("""COMPUTED_VALUE"""),"")</f>
        <v/>
      </c>
      <c r="L22" s="28" t="str">
        <f ca="1">IFERROR(__xludf.DUMMYFUNCTION("""COMPUTED_VALUE"""),"")</f>
        <v/>
      </c>
      <c r="M22" s="27" t="str">
        <f ca="1">IFERROR(__xludf.DUMMYFUNCTION("""COMPUTED_VALUE"""),"")</f>
        <v/>
      </c>
      <c r="N22" s="40" t="str">
        <f ca="1">IFERROR(__xludf.DUMMYFUNCTION("""COMPUTED_VALUE"""),"")</f>
        <v/>
      </c>
    </row>
    <row r="23" spans="2:14" ht="12.5">
      <c r="B23" s="32"/>
      <c r="C23" s="33" t="str">
        <f ca="1">IFERROR(__xludf.DUMMYFUNCTION("""COMPUTED_VALUE"""),"")</f>
        <v/>
      </c>
      <c r="D23" s="34" t="str">
        <f ca="1">IFERROR(__xludf.DUMMYFUNCTION("""COMPUTED_VALUE"""),"")</f>
        <v/>
      </c>
      <c r="E23" s="39" t="str">
        <f ca="1">IFERROR(__xludf.DUMMYFUNCTION("""COMPUTED_VALUE"""),"")</f>
        <v/>
      </c>
      <c r="F23" s="28" t="str">
        <f ca="1">IFERROR(__xludf.DUMMYFUNCTION("""COMPUTED_VALUE"""),"")</f>
        <v/>
      </c>
      <c r="G23" s="27" t="str">
        <f ca="1">IFERROR(__xludf.DUMMYFUNCTION("""COMPUTED_VALUE"""),"")</f>
        <v/>
      </c>
      <c r="H23" s="28" t="str">
        <f ca="1">IFERROR(__xludf.DUMMYFUNCTION("""COMPUTED_VALUE"""),"")</f>
        <v/>
      </c>
      <c r="I23" s="27" t="str">
        <f ca="1">IFERROR(__xludf.DUMMYFUNCTION("""COMPUTED_VALUE"""),"")</f>
        <v/>
      </c>
      <c r="J23" s="28" t="str">
        <f ca="1">IFERROR(__xludf.DUMMYFUNCTION("""COMPUTED_VALUE"""),"")</f>
        <v/>
      </c>
      <c r="K23" s="27" t="str">
        <f ca="1">IFERROR(__xludf.DUMMYFUNCTION("""COMPUTED_VALUE"""),"")</f>
        <v/>
      </c>
      <c r="L23" s="28" t="str">
        <f ca="1">IFERROR(__xludf.DUMMYFUNCTION("""COMPUTED_VALUE"""),"")</f>
        <v/>
      </c>
      <c r="M23" s="27" t="str">
        <f ca="1">IFERROR(__xludf.DUMMYFUNCTION("""COMPUTED_VALUE"""),"")</f>
        <v/>
      </c>
      <c r="N23" s="40" t="str">
        <f ca="1">IFERROR(__xludf.DUMMYFUNCTION("""COMPUTED_VALUE"""),"")</f>
        <v/>
      </c>
    </row>
    <row r="24" spans="2:14" ht="12.5">
      <c r="B24" s="32"/>
      <c r="C24" s="33" t="str">
        <f ca="1">IFERROR(__xludf.DUMMYFUNCTION("""COMPUTED_VALUE"""),"")</f>
        <v/>
      </c>
      <c r="D24" s="34" t="str">
        <f ca="1">IFERROR(__xludf.DUMMYFUNCTION("""COMPUTED_VALUE"""),"")</f>
        <v/>
      </c>
      <c r="E24" s="39" t="str">
        <f ca="1">IFERROR(__xludf.DUMMYFUNCTION("""COMPUTED_VALUE"""),"")</f>
        <v/>
      </c>
      <c r="F24" s="28" t="str">
        <f ca="1">IFERROR(__xludf.DUMMYFUNCTION("""COMPUTED_VALUE"""),"")</f>
        <v/>
      </c>
      <c r="G24" s="27" t="str">
        <f ca="1">IFERROR(__xludf.DUMMYFUNCTION("""COMPUTED_VALUE"""),"")</f>
        <v/>
      </c>
      <c r="H24" s="28" t="str">
        <f ca="1">IFERROR(__xludf.DUMMYFUNCTION("""COMPUTED_VALUE"""),"")</f>
        <v/>
      </c>
      <c r="I24" s="27" t="str">
        <f ca="1">IFERROR(__xludf.DUMMYFUNCTION("""COMPUTED_VALUE"""),"")</f>
        <v/>
      </c>
      <c r="J24" s="28" t="str">
        <f ca="1">IFERROR(__xludf.DUMMYFUNCTION("""COMPUTED_VALUE"""),"")</f>
        <v/>
      </c>
      <c r="K24" s="27" t="str">
        <f ca="1">IFERROR(__xludf.DUMMYFUNCTION("""COMPUTED_VALUE"""),"")</f>
        <v/>
      </c>
      <c r="L24" s="28" t="str">
        <f ca="1">IFERROR(__xludf.DUMMYFUNCTION("""COMPUTED_VALUE"""),"")</f>
        <v/>
      </c>
      <c r="M24" s="27" t="str">
        <f ca="1">IFERROR(__xludf.DUMMYFUNCTION("""COMPUTED_VALUE"""),"")</f>
        <v/>
      </c>
      <c r="N24" s="40" t="str">
        <f ca="1">IFERROR(__xludf.DUMMYFUNCTION("""COMPUTED_VALUE"""),"")</f>
        <v/>
      </c>
    </row>
    <row r="25" spans="2:14" ht="12.5">
      <c r="B25" s="32"/>
      <c r="C25" s="33" t="str">
        <f ca="1">IFERROR(__xludf.DUMMYFUNCTION("""COMPUTED_VALUE"""),"")</f>
        <v/>
      </c>
      <c r="D25" s="34" t="str">
        <f ca="1">IFERROR(__xludf.DUMMYFUNCTION("""COMPUTED_VALUE"""),"")</f>
        <v/>
      </c>
      <c r="E25" s="39" t="str">
        <f ca="1">IFERROR(__xludf.DUMMYFUNCTION("""COMPUTED_VALUE"""),"")</f>
        <v/>
      </c>
      <c r="F25" s="28" t="str">
        <f ca="1">IFERROR(__xludf.DUMMYFUNCTION("""COMPUTED_VALUE"""),"")</f>
        <v/>
      </c>
      <c r="G25" s="27" t="str">
        <f ca="1">IFERROR(__xludf.DUMMYFUNCTION("""COMPUTED_VALUE"""),"")</f>
        <v/>
      </c>
      <c r="H25" s="28" t="str">
        <f ca="1">IFERROR(__xludf.DUMMYFUNCTION("""COMPUTED_VALUE"""),"")</f>
        <v/>
      </c>
      <c r="I25" s="27" t="str">
        <f ca="1">IFERROR(__xludf.DUMMYFUNCTION("""COMPUTED_VALUE"""),"")</f>
        <v/>
      </c>
      <c r="J25" s="28" t="str">
        <f ca="1">IFERROR(__xludf.DUMMYFUNCTION("""COMPUTED_VALUE"""),"")</f>
        <v/>
      </c>
      <c r="K25" s="27" t="str">
        <f ca="1">IFERROR(__xludf.DUMMYFUNCTION("""COMPUTED_VALUE"""),"")</f>
        <v/>
      </c>
      <c r="L25" s="28" t="str">
        <f ca="1">IFERROR(__xludf.DUMMYFUNCTION("""COMPUTED_VALUE"""),"")</f>
        <v/>
      </c>
      <c r="M25" s="27" t="str">
        <f ca="1">IFERROR(__xludf.DUMMYFUNCTION("""COMPUTED_VALUE"""),"")</f>
        <v/>
      </c>
      <c r="N25" s="40" t="str">
        <f ca="1">IFERROR(__xludf.DUMMYFUNCTION("""COMPUTED_VALUE"""),"")</f>
        <v/>
      </c>
    </row>
    <row r="26" spans="2:14" ht="12.5">
      <c r="B26" s="32"/>
      <c r="C26" s="33" t="str">
        <f ca="1">IFERROR(__xludf.DUMMYFUNCTION("""COMPUTED_VALUE"""),"")</f>
        <v/>
      </c>
      <c r="D26" s="34" t="str">
        <f ca="1">IFERROR(__xludf.DUMMYFUNCTION("""COMPUTED_VALUE"""),"")</f>
        <v/>
      </c>
      <c r="E26" s="39" t="str">
        <f ca="1">IFERROR(__xludf.DUMMYFUNCTION("""COMPUTED_VALUE"""),"")</f>
        <v/>
      </c>
      <c r="F26" s="28" t="str">
        <f ca="1">IFERROR(__xludf.DUMMYFUNCTION("""COMPUTED_VALUE"""),"")</f>
        <v/>
      </c>
      <c r="G26" s="27" t="str">
        <f ca="1">IFERROR(__xludf.DUMMYFUNCTION("""COMPUTED_VALUE"""),"")</f>
        <v/>
      </c>
      <c r="H26" s="28" t="str">
        <f ca="1">IFERROR(__xludf.DUMMYFUNCTION("""COMPUTED_VALUE"""),"")</f>
        <v/>
      </c>
      <c r="I26" s="27" t="str">
        <f ca="1">IFERROR(__xludf.DUMMYFUNCTION("""COMPUTED_VALUE"""),"")</f>
        <v/>
      </c>
      <c r="J26" s="28" t="str">
        <f ca="1">IFERROR(__xludf.DUMMYFUNCTION("""COMPUTED_VALUE"""),"")</f>
        <v/>
      </c>
      <c r="K26" s="27" t="str">
        <f ca="1">IFERROR(__xludf.DUMMYFUNCTION("""COMPUTED_VALUE"""),"")</f>
        <v/>
      </c>
      <c r="L26" s="28" t="str">
        <f ca="1">IFERROR(__xludf.DUMMYFUNCTION("""COMPUTED_VALUE"""),"")</f>
        <v/>
      </c>
      <c r="M26" s="27" t="str">
        <f ca="1">IFERROR(__xludf.DUMMYFUNCTION("""COMPUTED_VALUE"""),"")</f>
        <v/>
      </c>
      <c r="N26" s="40" t="str">
        <f ca="1">IFERROR(__xludf.DUMMYFUNCTION("""COMPUTED_VALUE"""),"")</f>
        <v/>
      </c>
    </row>
    <row r="27" spans="2:14" ht="12.5">
      <c r="B27" s="32"/>
      <c r="C27" s="33" t="str">
        <f ca="1">IFERROR(__xludf.DUMMYFUNCTION("""COMPUTED_VALUE"""),"")</f>
        <v/>
      </c>
      <c r="D27" s="34" t="str">
        <f ca="1">IFERROR(__xludf.DUMMYFUNCTION("""COMPUTED_VALUE"""),"")</f>
        <v/>
      </c>
      <c r="E27" s="39" t="str">
        <f ca="1">IFERROR(__xludf.DUMMYFUNCTION("""COMPUTED_VALUE"""),"")</f>
        <v/>
      </c>
      <c r="F27" s="28" t="str">
        <f ca="1">IFERROR(__xludf.DUMMYFUNCTION("""COMPUTED_VALUE"""),"")</f>
        <v/>
      </c>
      <c r="G27" s="27" t="str">
        <f ca="1">IFERROR(__xludf.DUMMYFUNCTION("""COMPUTED_VALUE"""),"")</f>
        <v/>
      </c>
      <c r="H27" s="28" t="str">
        <f ca="1">IFERROR(__xludf.DUMMYFUNCTION("""COMPUTED_VALUE"""),"")</f>
        <v/>
      </c>
      <c r="I27" s="27" t="str">
        <f ca="1">IFERROR(__xludf.DUMMYFUNCTION("""COMPUTED_VALUE"""),"")</f>
        <v/>
      </c>
      <c r="J27" s="28" t="str">
        <f ca="1">IFERROR(__xludf.DUMMYFUNCTION("""COMPUTED_VALUE"""),"")</f>
        <v/>
      </c>
      <c r="K27" s="27" t="str">
        <f ca="1">IFERROR(__xludf.DUMMYFUNCTION("""COMPUTED_VALUE"""),"")</f>
        <v/>
      </c>
      <c r="L27" s="28" t="str">
        <f ca="1">IFERROR(__xludf.DUMMYFUNCTION("""COMPUTED_VALUE"""),"")</f>
        <v/>
      </c>
      <c r="M27" s="27" t="str">
        <f ca="1">IFERROR(__xludf.DUMMYFUNCTION("""COMPUTED_VALUE"""),"")</f>
        <v/>
      </c>
      <c r="N27" s="40" t="str">
        <f ca="1">IFERROR(__xludf.DUMMYFUNCTION("""COMPUTED_VALUE"""),"")</f>
        <v/>
      </c>
    </row>
    <row r="28" spans="2:14" ht="12.5">
      <c r="B28" s="32"/>
      <c r="C28" s="33" t="str">
        <f ca="1">IFERROR(__xludf.DUMMYFUNCTION("""COMPUTED_VALUE"""),"")</f>
        <v/>
      </c>
      <c r="D28" s="34" t="str">
        <f ca="1">IFERROR(__xludf.DUMMYFUNCTION("""COMPUTED_VALUE"""),"")</f>
        <v/>
      </c>
      <c r="E28" s="39" t="str">
        <f ca="1">IFERROR(__xludf.DUMMYFUNCTION("""COMPUTED_VALUE"""),"")</f>
        <v/>
      </c>
      <c r="F28" s="28" t="str">
        <f ca="1">IFERROR(__xludf.DUMMYFUNCTION("""COMPUTED_VALUE"""),"")</f>
        <v/>
      </c>
      <c r="G28" s="27" t="str">
        <f ca="1">IFERROR(__xludf.DUMMYFUNCTION("""COMPUTED_VALUE"""),"")</f>
        <v/>
      </c>
      <c r="H28" s="28" t="str">
        <f ca="1">IFERROR(__xludf.DUMMYFUNCTION("""COMPUTED_VALUE"""),"")</f>
        <v/>
      </c>
      <c r="I28" s="27" t="str">
        <f ca="1">IFERROR(__xludf.DUMMYFUNCTION("""COMPUTED_VALUE"""),"")</f>
        <v/>
      </c>
      <c r="J28" s="28" t="str">
        <f ca="1">IFERROR(__xludf.DUMMYFUNCTION("""COMPUTED_VALUE"""),"")</f>
        <v/>
      </c>
      <c r="K28" s="27" t="str">
        <f ca="1">IFERROR(__xludf.DUMMYFUNCTION("""COMPUTED_VALUE"""),"")</f>
        <v/>
      </c>
      <c r="L28" s="28" t="str">
        <f ca="1">IFERROR(__xludf.DUMMYFUNCTION("""COMPUTED_VALUE"""),"")</f>
        <v/>
      </c>
      <c r="M28" s="27" t="str">
        <f ca="1">IFERROR(__xludf.DUMMYFUNCTION("""COMPUTED_VALUE"""),"")</f>
        <v/>
      </c>
      <c r="N28" s="40" t="str">
        <f ca="1">IFERROR(__xludf.DUMMYFUNCTION("""COMPUTED_VALUE"""),"")</f>
        <v/>
      </c>
    </row>
    <row r="29" spans="2:14" ht="12.5">
      <c r="B29" s="32"/>
      <c r="C29" s="33" t="str">
        <f ca="1">IFERROR(__xludf.DUMMYFUNCTION("""COMPUTED_VALUE"""),"")</f>
        <v/>
      </c>
      <c r="D29" s="34" t="str">
        <f ca="1">IFERROR(__xludf.DUMMYFUNCTION("""COMPUTED_VALUE"""),"")</f>
        <v/>
      </c>
      <c r="E29" s="39" t="str">
        <f ca="1">IFERROR(__xludf.DUMMYFUNCTION("""COMPUTED_VALUE"""),"")</f>
        <v/>
      </c>
      <c r="F29" s="28" t="str">
        <f ca="1">IFERROR(__xludf.DUMMYFUNCTION("""COMPUTED_VALUE"""),"")</f>
        <v/>
      </c>
      <c r="G29" s="27" t="str">
        <f ca="1">IFERROR(__xludf.DUMMYFUNCTION("""COMPUTED_VALUE"""),"")</f>
        <v/>
      </c>
      <c r="H29" s="28" t="str">
        <f ca="1">IFERROR(__xludf.DUMMYFUNCTION("""COMPUTED_VALUE"""),"")</f>
        <v/>
      </c>
      <c r="I29" s="27" t="str">
        <f ca="1">IFERROR(__xludf.DUMMYFUNCTION("""COMPUTED_VALUE"""),"")</f>
        <v/>
      </c>
      <c r="J29" s="28" t="str">
        <f ca="1">IFERROR(__xludf.DUMMYFUNCTION("""COMPUTED_VALUE"""),"")</f>
        <v/>
      </c>
      <c r="K29" s="27" t="str">
        <f ca="1">IFERROR(__xludf.DUMMYFUNCTION("""COMPUTED_VALUE"""),"")</f>
        <v/>
      </c>
      <c r="L29" s="28" t="str">
        <f ca="1">IFERROR(__xludf.DUMMYFUNCTION("""COMPUTED_VALUE"""),"")</f>
        <v/>
      </c>
      <c r="M29" s="27" t="str">
        <f ca="1">IFERROR(__xludf.DUMMYFUNCTION("""COMPUTED_VALUE"""),"")</f>
        <v/>
      </c>
      <c r="N29" s="40" t="str">
        <f ca="1">IFERROR(__xludf.DUMMYFUNCTION("""COMPUTED_VALUE"""),"")</f>
        <v/>
      </c>
    </row>
    <row r="30" spans="2:14" ht="12.5">
      <c r="B30" s="32"/>
      <c r="C30" s="33" t="str">
        <f ca="1">IFERROR(__xludf.DUMMYFUNCTION("""COMPUTED_VALUE"""),"")</f>
        <v/>
      </c>
      <c r="D30" s="34" t="str">
        <f ca="1">IFERROR(__xludf.DUMMYFUNCTION("""COMPUTED_VALUE"""),"")</f>
        <v/>
      </c>
      <c r="E30" s="39" t="str">
        <f ca="1">IFERROR(__xludf.DUMMYFUNCTION("""COMPUTED_VALUE"""),"")</f>
        <v/>
      </c>
      <c r="F30" s="28" t="str">
        <f ca="1">IFERROR(__xludf.DUMMYFUNCTION("""COMPUTED_VALUE"""),"")</f>
        <v/>
      </c>
      <c r="G30" s="27" t="str">
        <f ca="1">IFERROR(__xludf.DUMMYFUNCTION("""COMPUTED_VALUE"""),"")</f>
        <v/>
      </c>
      <c r="H30" s="28" t="str">
        <f ca="1">IFERROR(__xludf.DUMMYFUNCTION("""COMPUTED_VALUE"""),"")</f>
        <v/>
      </c>
      <c r="I30" s="27" t="str">
        <f ca="1">IFERROR(__xludf.DUMMYFUNCTION("""COMPUTED_VALUE"""),"")</f>
        <v/>
      </c>
      <c r="J30" s="28" t="str">
        <f ca="1">IFERROR(__xludf.DUMMYFUNCTION("""COMPUTED_VALUE"""),"")</f>
        <v/>
      </c>
      <c r="K30" s="27" t="str">
        <f ca="1">IFERROR(__xludf.DUMMYFUNCTION("""COMPUTED_VALUE"""),"")</f>
        <v/>
      </c>
      <c r="L30" s="28" t="str">
        <f ca="1">IFERROR(__xludf.DUMMYFUNCTION("""COMPUTED_VALUE"""),"")</f>
        <v/>
      </c>
      <c r="M30" s="27" t="str">
        <f ca="1">IFERROR(__xludf.DUMMYFUNCTION("""COMPUTED_VALUE"""),"")</f>
        <v/>
      </c>
      <c r="N30" s="40" t="str">
        <f ca="1">IFERROR(__xludf.DUMMYFUNCTION("""COMPUTED_VALUE"""),"")</f>
        <v/>
      </c>
    </row>
    <row r="31" spans="2:14" ht="12.5">
      <c r="B31" s="32"/>
      <c r="C31" s="33" t="str">
        <f ca="1">IFERROR(__xludf.DUMMYFUNCTION("""COMPUTED_VALUE"""),"")</f>
        <v/>
      </c>
      <c r="D31" s="34" t="str">
        <f ca="1">IFERROR(__xludf.DUMMYFUNCTION("""COMPUTED_VALUE"""),"")</f>
        <v/>
      </c>
      <c r="E31" s="39" t="str">
        <f ca="1">IFERROR(__xludf.DUMMYFUNCTION("""COMPUTED_VALUE"""),"")</f>
        <v/>
      </c>
      <c r="F31" s="28" t="str">
        <f ca="1">IFERROR(__xludf.DUMMYFUNCTION("""COMPUTED_VALUE"""),"")</f>
        <v/>
      </c>
      <c r="G31" s="27" t="str">
        <f ca="1">IFERROR(__xludf.DUMMYFUNCTION("""COMPUTED_VALUE"""),"")</f>
        <v/>
      </c>
      <c r="H31" s="28" t="str">
        <f ca="1">IFERROR(__xludf.DUMMYFUNCTION("""COMPUTED_VALUE"""),"")</f>
        <v/>
      </c>
      <c r="I31" s="27" t="str">
        <f ca="1">IFERROR(__xludf.DUMMYFUNCTION("""COMPUTED_VALUE"""),"")</f>
        <v/>
      </c>
      <c r="J31" s="28" t="str">
        <f ca="1">IFERROR(__xludf.DUMMYFUNCTION("""COMPUTED_VALUE"""),"")</f>
        <v/>
      </c>
      <c r="K31" s="27" t="str">
        <f ca="1">IFERROR(__xludf.DUMMYFUNCTION("""COMPUTED_VALUE"""),"")</f>
        <v/>
      </c>
      <c r="L31" s="28" t="str">
        <f ca="1">IFERROR(__xludf.DUMMYFUNCTION("""COMPUTED_VALUE"""),"")</f>
        <v/>
      </c>
      <c r="M31" s="27" t="str">
        <f ca="1">IFERROR(__xludf.DUMMYFUNCTION("""COMPUTED_VALUE"""),"")</f>
        <v/>
      </c>
      <c r="N31" s="40" t="str">
        <f ca="1">IFERROR(__xludf.DUMMYFUNCTION("""COMPUTED_VALUE"""),"")</f>
        <v/>
      </c>
    </row>
    <row r="32" spans="2:14" ht="12.5">
      <c r="B32" s="32"/>
      <c r="C32" s="33" t="str">
        <f ca="1">IFERROR(__xludf.DUMMYFUNCTION("""COMPUTED_VALUE"""),"")</f>
        <v/>
      </c>
      <c r="D32" s="34" t="str">
        <f ca="1">IFERROR(__xludf.DUMMYFUNCTION("""COMPUTED_VALUE"""),"")</f>
        <v/>
      </c>
      <c r="E32" s="39" t="str">
        <f ca="1">IFERROR(__xludf.DUMMYFUNCTION("""COMPUTED_VALUE"""),"")</f>
        <v/>
      </c>
      <c r="F32" s="28" t="str">
        <f ca="1">IFERROR(__xludf.DUMMYFUNCTION("""COMPUTED_VALUE"""),"")</f>
        <v/>
      </c>
      <c r="G32" s="27" t="str">
        <f ca="1">IFERROR(__xludf.DUMMYFUNCTION("""COMPUTED_VALUE"""),"")</f>
        <v/>
      </c>
      <c r="H32" s="28" t="str">
        <f ca="1">IFERROR(__xludf.DUMMYFUNCTION("""COMPUTED_VALUE"""),"")</f>
        <v/>
      </c>
      <c r="I32" s="27" t="str">
        <f ca="1">IFERROR(__xludf.DUMMYFUNCTION("""COMPUTED_VALUE"""),"")</f>
        <v/>
      </c>
      <c r="J32" s="28" t="str">
        <f ca="1">IFERROR(__xludf.DUMMYFUNCTION("""COMPUTED_VALUE"""),"")</f>
        <v/>
      </c>
      <c r="K32" s="27" t="str">
        <f ca="1">IFERROR(__xludf.DUMMYFUNCTION("""COMPUTED_VALUE"""),"")</f>
        <v/>
      </c>
      <c r="L32" s="28" t="str">
        <f ca="1">IFERROR(__xludf.DUMMYFUNCTION("""COMPUTED_VALUE"""),"")</f>
        <v/>
      </c>
      <c r="M32" s="27" t="str">
        <f ca="1">IFERROR(__xludf.DUMMYFUNCTION("""COMPUTED_VALUE"""),"")</f>
        <v/>
      </c>
      <c r="N32" s="40" t="str">
        <f ca="1">IFERROR(__xludf.DUMMYFUNCTION("""COMPUTED_VALUE"""),"")</f>
        <v/>
      </c>
    </row>
    <row r="33" spans="2:14" ht="12.5">
      <c r="B33" s="32"/>
      <c r="C33" s="33" t="str">
        <f ca="1">IFERROR(__xludf.DUMMYFUNCTION("""COMPUTED_VALUE"""),"")</f>
        <v/>
      </c>
      <c r="D33" s="34" t="str">
        <f ca="1">IFERROR(__xludf.DUMMYFUNCTION("""COMPUTED_VALUE"""),"")</f>
        <v/>
      </c>
      <c r="E33" s="39" t="str">
        <f ca="1">IFERROR(__xludf.DUMMYFUNCTION("""COMPUTED_VALUE"""),"")</f>
        <v/>
      </c>
      <c r="F33" s="28" t="str">
        <f ca="1">IFERROR(__xludf.DUMMYFUNCTION("""COMPUTED_VALUE"""),"")</f>
        <v/>
      </c>
      <c r="G33" s="27" t="str">
        <f ca="1">IFERROR(__xludf.DUMMYFUNCTION("""COMPUTED_VALUE"""),"")</f>
        <v/>
      </c>
      <c r="H33" s="28" t="str">
        <f ca="1">IFERROR(__xludf.DUMMYFUNCTION("""COMPUTED_VALUE"""),"")</f>
        <v/>
      </c>
      <c r="I33" s="27" t="str">
        <f ca="1">IFERROR(__xludf.DUMMYFUNCTION("""COMPUTED_VALUE"""),"")</f>
        <v/>
      </c>
      <c r="J33" s="28" t="str">
        <f ca="1">IFERROR(__xludf.DUMMYFUNCTION("""COMPUTED_VALUE"""),"")</f>
        <v/>
      </c>
      <c r="K33" s="27" t="str">
        <f ca="1">IFERROR(__xludf.DUMMYFUNCTION("""COMPUTED_VALUE"""),"")</f>
        <v/>
      </c>
      <c r="L33" s="28" t="str">
        <f ca="1">IFERROR(__xludf.DUMMYFUNCTION("""COMPUTED_VALUE"""),"")</f>
        <v/>
      </c>
      <c r="M33" s="27" t="str">
        <f ca="1">IFERROR(__xludf.DUMMYFUNCTION("""COMPUTED_VALUE"""),"")</f>
        <v/>
      </c>
      <c r="N33" s="40" t="str">
        <f ca="1">IFERROR(__xludf.DUMMYFUNCTION("""COMPUTED_VALUE"""),"")</f>
        <v/>
      </c>
    </row>
    <row r="34" spans="2:14" ht="12.5">
      <c r="B34" s="32"/>
      <c r="C34" s="33" t="str">
        <f ca="1">IFERROR(__xludf.DUMMYFUNCTION("""COMPUTED_VALUE"""),"")</f>
        <v/>
      </c>
      <c r="D34" s="34" t="str">
        <f ca="1">IFERROR(__xludf.DUMMYFUNCTION("""COMPUTED_VALUE"""),"")</f>
        <v/>
      </c>
      <c r="E34" s="39" t="str">
        <f ca="1">IFERROR(__xludf.DUMMYFUNCTION("""COMPUTED_VALUE"""),"")</f>
        <v/>
      </c>
      <c r="F34" s="28" t="str">
        <f ca="1">IFERROR(__xludf.DUMMYFUNCTION("""COMPUTED_VALUE"""),"")</f>
        <v/>
      </c>
      <c r="G34" s="27" t="str">
        <f ca="1">IFERROR(__xludf.DUMMYFUNCTION("""COMPUTED_VALUE"""),"")</f>
        <v/>
      </c>
      <c r="H34" s="28" t="str">
        <f ca="1">IFERROR(__xludf.DUMMYFUNCTION("""COMPUTED_VALUE"""),"")</f>
        <v/>
      </c>
      <c r="I34" s="27" t="str">
        <f ca="1">IFERROR(__xludf.DUMMYFUNCTION("""COMPUTED_VALUE"""),"")</f>
        <v/>
      </c>
      <c r="J34" s="28" t="str">
        <f ca="1">IFERROR(__xludf.DUMMYFUNCTION("""COMPUTED_VALUE"""),"")</f>
        <v/>
      </c>
      <c r="K34" s="27" t="str">
        <f ca="1">IFERROR(__xludf.DUMMYFUNCTION("""COMPUTED_VALUE"""),"")</f>
        <v/>
      </c>
      <c r="L34" s="28" t="str">
        <f ca="1">IFERROR(__xludf.DUMMYFUNCTION("""COMPUTED_VALUE"""),"")</f>
        <v/>
      </c>
      <c r="M34" s="27" t="str">
        <f ca="1">IFERROR(__xludf.DUMMYFUNCTION("""COMPUTED_VALUE"""),"")</f>
        <v/>
      </c>
      <c r="N34" s="40" t="str">
        <f ca="1">IFERROR(__xludf.DUMMYFUNCTION("""COMPUTED_VALUE"""),"")</f>
        <v/>
      </c>
    </row>
    <row r="35" spans="2:14" ht="12.5">
      <c r="B35" s="32"/>
      <c r="C35" s="33" t="str">
        <f ca="1">IFERROR(__xludf.DUMMYFUNCTION("""COMPUTED_VALUE"""),"")</f>
        <v/>
      </c>
      <c r="D35" s="34" t="str">
        <f ca="1">IFERROR(__xludf.DUMMYFUNCTION("""COMPUTED_VALUE"""),"")</f>
        <v/>
      </c>
      <c r="E35" s="39" t="str">
        <f ca="1">IFERROR(__xludf.DUMMYFUNCTION("""COMPUTED_VALUE"""),"")</f>
        <v/>
      </c>
      <c r="F35" s="28" t="str">
        <f ca="1">IFERROR(__xludf.DUMMYFUNCTION("""COMPUTED_VALUE"""),"")</f>
        <v/>
      </c>
      <c r="G35" s="27" t="str">
        <f ca="1">IFERROR(__xludf.DUMMYFUNCTION("""COMPUTED_VALUE"""),"")</f>
        <v/>
      </c>
      <c r="H35" s="28" t="str">
        <f ca="1">IFERROR(__xludf.DUMMYFUNCTION("""COMPUTED_VALUE"""),"")</f>
        <v/>
      </c>
      <c r="I35" s="27" t="str">
        <f ca="1">IFERROR(__xludf.DUMMYFUNCTION("""COMPUTED_VALUE"""),"")</f>
        <v/>
      </c>
      <c r="J35" s="28" t="str">
        <f ca="1">IFERROR(__xludf.DUMMYFUNCTION("""COMPUTED_VALUE"""),"")</f>
        <v/>
      </c>
      <c r="K35" s="27" t="str">
        <f ca="1">IFERROR(__xludf.DUMMYFUNCTION("""COMPUTED_VALUE"""),"")</f>
        <v/>
      </c>
      <c r="L35" s="28" t="str">
        <f ca="1">IFERROR(__xludf.DUMMYFUNCTION("""COMPUTED_VALUE"""),"")</f>
        <v/>
      </c>
      <c r="M35" s="27" t="str">
        <f ca="1">IFERROR(__xludf.DUMMYFUNCTION("""COMPUTED_VALUE"""),"")</f>
        <v/>
      </c>
      <c r="N35" s="40" t="str">
        <f ca="1">IFERROR(__xludf.DUMMYFUNCTION("""COMPUTED_VALUE"""),"")</f>
        <v/>
      </c>
    </row>
    <row r="36" spans="2:14" ht="12.5">
      <c r="B36" s="32"/>
      <c r="C36" s="33" t="str">
        <f ca="1">IFERROR(__xludf.DUMMYFUNCTION("""COMPUTED_VALUE"""),"")</f>
        <v/>
      </c>
      <c r="D36" s="34" t="str">
        <f ca="1">IFERROR(__xludf.DUMMYFUNCTION("""COMPUTED_VALUE"""),"")</f>
        <v/>
      </c>
      <c r="E36" s="39" t="str">
        <f ca="1">IFERROR(__xludf.DUMMYFUNCTION("""COMPUTED_VALUE"""),"")</f>
        <v/>
      </c>
      <c r="F36" s="28" t="str">
        <f ca="1">IFERROR(__xludf.DUMMYFUNCTION("""COMPUTED_VALUE"""),"")</f>
        <v/>
      </c>
      <c r="G36" s="27" t="str">
        <f ca="1">IFERROR(__xludf.DUMMYFUNCTION("""COMPUTED_VALUE"""),"")</f>
        <v/>
      </c>
      <c r="H36" s="28" t="str">
        <f ca="1">IFERROR(__xludf.DUMMYFUNCTION("""COMPUTED_VALUE"""),"")</f>
        <v/>
      </c>
      <c r="I36" s="27" t="str">
        <f ca="1">IFERROR(__xludf.DUMMYFUNCTION("""COMPUTED_VALUE"""),"")</f>
        <v/>
      </c>
      <c r="J36" s="28" t="str">
        <f ca="1">IFERROR(__xludf.DUMMYFUNCTION("""COMPUTED_VALUE"""),"")</f>
        <v/>
      </c>
      <c r="K36" s="27" t="str">
        <f ca="1">IFERROR(__xludf.DUMMYFUNCTION("""COMPUTED_VALUE"""),"")</f>
        <v/>
      </c>
      <c r="L36" s="28" t="str">
        <f ca="1">IFERROR(__xludf.DUMMYFUNCTION("""COMPUTED_VALUE"""),"")</f>
        <v/>
      </c>
      <c r="M36" s="27" t="str">
        <f ca="1">IFERROR(__xludf.DUMMYFUNCTION("""COMPUTED_VALUE"""),"")</f>
        <v/>
      </c>
      <c r="N36" s="40" t="str">
        <f ca="1">IFERROR(__xludf.DUMMYFUNCTION("""COMPUTED_VALUE"""),"")</f>
        <v/>
      </c>
    </row>
    <row r="37" spans="2:14" ht="12.5">
      <c r="B37" s="32"/>
      <c r="C37" s="33" t="str">
        <f ca="1">IFERROR(__xludf.DUMMYFUNCTION("""COMPUTED_VALUE"""),"")</f>
        <v/>
      </c>
      <c r="D37" s="34" t="str">
        <f ca="1">IFERROR(__xludf.DUMMYFUNCTION("""COMPUTED_VALUE"""),"")</f>
        <v/>
      </c>
      <c r="E37" s="39" t="str">
        <f ca="1">IFERROR(__xludf.DUMMYFUNCTION("""COMPUTED_VALUE"""),"")</f>
        <v/>
      </c>
      <c r="F37" s="28" t="str">
        <f ca="1">IFERROR(__xludf.DUMMYFUNCTION("""COMPUTED_VALUE"""),"")</f>
        <v/>
      </c>
      <c r="G37" s="27" t="str">
        <f ca="1">IFERROR(__xludf.DUMMYFUNCTION("""COMPUTED_VALUE"""),"")</f>
        <v/>
      </c>
      <c r="H37" s="28" t="str">
        <f ca="1">IFERROR(__xludf.DUMMYFUNCTION("""COMPUTED_VALUE"""),"")</f>
        <v/>
      </c>
      <c r="I37" s="27" t="str">
        <f ca="1">IFERROR(__xludf.DUMMYFUNCTION("""COMPUTED_VALUE"""),"")</f>
        <v/>
      </c>
      <c r="J37" s="28" t="str">
        <f ca="1">IFERROR(__xludf.DUMMYFUNCTION("""COMPUTED_VALUE"""),"")</f>
        <v/>
      </c>
      <c r="K37" s="27" t="str">
        <f ca="1">IFERROR(__xludf.DUMMYFUNCTION("""COMPUTED_VALUE"""),"")</f>
        <v/>
      </c>
      <c r="L37" s="28" t="str">
        <f ca="1">IFERROR(__xludf.DUMMYFUNCTION("""COMPUTED_VALUE"""),"")</f>
        <v/>
      </c>
      <c r="M37" s="27" t="str">
        <f ca="1">IFERROR(__xludf.DUMMYFUNCTION("""COMPUTED_VALUE"""),"")</f>
        <v/>
      </c>
      <c r="N37" s="40" t="str">
        <f ca="1">IFERROR(__xludf.DUMMYFUNCTION("""COMPUTED_VALUE"""),"")</f>
        <v/>
      </c>
    </row>
    <row r="38" spans="2:14" ht="12.5">
      <c r="B38" s="32"/>
      <c r="C38" s="33" t="str">
        <f ca="1">IFERROR(__xludf.DUMMYFUNCTION("""COMPUTED_VALUE"""),"")</f>
        <v/>
      </c>
      <c r="D38" s="34" t="str">
        <f ca="1">IFERROR(__xludf.DUMMYFUNCTION("""COMPUTED_VALUE"""),"")</f>
        <v/>
      </c>
      <c r="E38" s="39" t="str">
        <f ca="1">IFERROR(__xludf.DUMMYFUNCTION("""COMPUTED_VALUE"""),"")</f>
        <v/>
      </c>
      <c r="F38" s="28" t="str">
        <f ca="1">IFERROR(__xludf.DUMMYFUNCTION("""COMPUTED_VALUE"""),"")</f>
        <v/>
      </c>
      <c r="G38" s="27" t="str">
        <f ca="1">IFERROR(__xludf.DUMMYFUNCTION("""COMPUTED_VALUE"""),"")</f>
        <v/>
      </c>
      <c r="H38" s="28" t="str">
        <f ca="1">IFERROR(__xludf.DUMMYFUNCTION("""COMPUTED_VALUE"""),"")</f>
        <v/>
      </c>
      <c r="I38" s="27" t="str">
        <f ca="1">IFERROR(__xludf.DUMMYFUNCTION("""COMPUTED_VALUE"""),"")</f>
        <v/>
      </c>
      <c r="J38" s="28" t="str">
        <f ca="1">IFERROR(__xludf.DUMMYFUNCTION("""COMPUTED_VALUE"""),"")</f>
        <v/>
      </c>
      <c r="K38" s="27" t="str">
        <f ca="1">IFERROR(__xludf.DUMMYFUNCTION("""COMPUTED_VALUE"""),"")</f>
        <v/>
      </c>
      <c r="L38" s="28" t="str">
        <f ca="1">IFERROR(__xludf.DUMMYFUNCTION("""COMPUTED_VALUE"""),"")</f>
        <v/>
      </c>
      <c r="M38" s="27" t="str">
        <f ca="1">IFERROR(__xludf.DUMMYFUNCTION("""COMPUTED_VALUE"""),"")</f>
        <v/>
      </c>
      <c r="N38" s="40" t="str">
        <f ca="1">IFERROR(__xludf.DUMMYFUNCTION("""COMPUTED_VALUE"""),"")</f>
        <v/>
      </c>
    </row>
    <row r="39" spans="2:14" ht="12.5">
      <c r="B39" s="32"/>
      <c r="C39" s="33" t="str">
        <f ca="1">IFERROR(__xludf.DUMMYFUNCTION("""COMPUTED_VALUE"""),"")</f>
        <v/>
      </c>
      <c r="D39" s="34" t="str">
        <f ca="1">IFERROR(__xludf.DUMMYFUNCTION("""COMPUTED_VALUE"""),"")</f>
        <v/>
      </c>
      <c r="E39" s="39" t="str">
        <f ca="1">IFERROR(__xludf.DUMMYFUNCTION("""COMPUTED_VALUE"""),"")</f>
        <v/>
      </c>
      <c r="F39" s="28" t="str">
        <f ca="1">IFERROR(__xludf.DUMMYFUNCTION("""COMPUTED_VALUE"""),"")</f>
        <v/>
      </c>
      <c r="G39" s="27" t="str">
        <f ca="1">IFERROR(__xludf.DUMMYFUNCTION("""COMPUTED_VALUE"""),"")</f>
        <v/>
      </c>
      <c r="H39" s="28" t="str">
        <f ca="1">IFERROR(__xludf.DUMMYFUNCTION("""COMPUTED_VALUE"""),"")</f>
        <v/>
      </c>
      <c r="I39" s="27" t="str">
        <f ca="1">IFERROR(__xludf.DUMMYFUNCTION("""COMPUTED_VALUE"""),"")</f>
        <v/>
      </c>
      <c r="J39" s="28" t="str">
        <f ca="1">IFERROR(__xludf.DUMMYFUNCTION("""COMPUTED_VALUE"""),"")</f>
        <v/>
      </c>
      <c r="K39" s="27" t="str">
        <f ca="1">IFERROR(__xludf.DUMMYFUNCTION("""COMPUTED_VALUE"""),"")</f>
        <v/>
      </c>
      <c r="L39" s="28" t="str">
        <f ca="1">IFERROR(__xludf.DUMMYFUNCTION("""COMPUTED_VALUE"""),"")</f>
        <v/>
      </c>
      <c r="M39" s="27" t="str">
        <f ca="1">IFERROR(__xludf.DUMMYFUNCTION("""COMPUTED_VALUE"""),"")</f>
        <v/>
      </c>
      <c r="N39" s="40" t="str">
        <f ca="1">IFERROR(__xludf.DUMMYFUNCTION("""COMPUTED_VALUE"""),"")</f>
        <v/>
      </c>
    </row>
    <row r="40" spans="2:14" ht="12.5">
      <c r="B40" s="32"/>
      <c r="C40" s="33" t="str">
        <f ca="1">IFERROR(__xludf.DUMMYFUNCTION("""COMPUTED_VALUE"""),"")</f>
        <v/>
      </c>
      <c r="D40" s="34" t="str">
        <f ca="1">IFERROR(__xludf.DUMMYFUNCTION("""COMPUTED_VALUE"""),"")</f>
        <v/>
      </c>
      <c r="E40" s="39" t="str">
        <f ca="1">IFERROR(__xludf.DUMMYFUNCTION("""COMPUTED_VALUE"""),"")</f>
        <v/>
      </c>
      <c r="F40" s="28" t="str">
        <f ca="1">IFERROR(__xludf.DUMMYFUNCTION("""COMPUTED_VALUE"""),"")</f>
        <v/>
      </c>
      <c r="G40" s="27" t="str">
        <f ca="1">IFERROR(__xludf.DUMMYFUNCTION("""COMPUTED_VALUE"""),"")</f>
        <v/>
      </c>
      <c r="H40" s="28" t="str">
        <f ca="1">IFERROR(__xludf.DUMMYFUNCTION("""COMPUTED_VALUE"""),"")</f>
        <v/>
      </c>
      <c r="I40" s="27" t="str">
        <f ca="1">IFERROR(__xludf.DUMMYFUNCTION("""COMPUTED_VALUE"""),"")</f>
        <v/>
      </c>
      <c r="J40" s="28" t="str">
        <f ca="1">IFERROR(__xludf.DUMMYFUNCTION("""COMPUTED_VALUE"""),"")</f>
        <v/>
      </c>
      <c r="K40" s="27" t="str">
        <f ca="1">IFERROR(__xludf.DUMMYFUNCTION("""COMPUTED_VALUE"""),"")</f>
        <v/>
      </c>
      <c r="L40" s="28" t="str">
        <f ca="1">IFERROR(__xludf.DUMMYFUNCTION("""COMPUTED_VALUE"""),"")</f>
        <v/>
      </c>
      <c r="M40" s="27" t="str">
        <f ca="1">IFERROR(__xludf.DUMMYFUNCTION("""COMPUTED_VALUE"""),"")</f>
        <v/>
      </c>
      <c r="N40" s="40" t="str">
        <f ca="1">IFERROR(__xludf.DUMMYFUNCTION("""COMPUTED_VALUE"""),"")</f>
        <v/>
      </c>
    </row>
    <row r="41" spans="2:14" ht="12.5">
      <c r="B41" s="32"/>
      <c r="C41" s="33" t="str">
        <f ca="1">IFERROR(__xludf.DUMMYFUNCTION("""COMPUTED_VALUE"""),"")</f>
        <v/>
      </c>
      <c r="D41" s="34" t="str">
        <f ca="1">IFERROR(__xludf.DUMMYFUNCTION("""COMPUTED_VALUE"""),"")</f>
        <v/>
      </c>
      <c r="E41" s="39" t="str">
        <f ca="1">IFERROR(__xludf.DUMMYFUNCTION("""COMPUTED_VALUE"""),"")</f>
        <v/>
      </c>
      <c r="F41" s="28" t="str">
        <f ca="1">IFERROR(__xludf.DUMMYFUNCTION("""COMPUTED_VALUE"""),"")</f>
        <v/>
      </c>
      <c r="G41" s="27" t="str">
        <f ca="1">IFERROR(__xludf.DUMMYFUNCTION("""COMPUTED_VALUE"""),"")</f>
        <v/>
      </c>
      <c r="H41" s="28" t="str">
        <f ca="1">IFERROR(__xludf.DUMMYFUNCTION("""COMPUTED_VALUE"""),"")</f>
        <v/>
      </c>
      <c r="I41" s="27" t="str">
        <f ca="1">IFERROR(__xludf.DUMMYFUNCTION("""COMPUTED_VALUE"""),"")</f>
        <v/>
      </c>
      <c r="J41" s="28" t="str">
        <f ca="1">IFERROR(__xludf.DUMMYFUNCTION("""COMPUTED_VALUE"""),"")</f>
        <v/>
      </c>
      <c r="K41" s="27" t="str">
        <f ca="1">IFERROR(__xludf.DUMMYFUNCTION("""COMPUTED_VALUE"""),"")</f>
        <v/>
      </c>
      <c r="L41" s="28" t="str">
        <f ca="1">IFERROR(__xludf.DUMMYFUNCTION("""COMPUTED_VALUE"""),"")</f>
        <v/>
      </c>
      <c r="M41" s="27" t="str">
        <f ca="1">IFERROR(__xludf.DUMMYFUNCTION("""COMPUTED_VALUE"""),"")</f>
        <v/>
      </c>
      <c r="N41" s="40" t="str">
        <f ca="1">IFERROR(__xludf.DUMMYFUNCTION("""COMPUTED_VALUE"""),"")</f>
        <v/>
      </c>
    </row>
    <row r="42" spans="2:14" ht="12.5">
      <c r="B42" s="32"/>
      <c r="C42" s="33" t="str">
        <f ca="1">IFERROR(__xludf.DUMMYFUNCTION("""COMPUTED_VALUE"""),"")</f>
        <v/>
      </c>
      <c r="D42" s="34" t="str">
        <f ca="1">IFERROR(__xludf.DUMMYFUNCTION("""COMPUTED_VALUE"""),"")</f>
        <v/>
      </c>
      <c r="E42" s="39" t="str">
        <f ca="1">IFERROR(__xludf.DUMMYFUNCTION("""COMPUTED_VALUE"""),"")</f>
        <v/>
      </c>
      <c r="F42" s="28" t="str">
        <f ca="1">IFERROR(__xludf.DUMMYFUNCTION("""COMPUTED_VALUE"""),"")</f>
        <v/>
      </c>
      <c r="G42" s="27" t="str">
        <f ca="1">IFERROR(__xludf.DUMMYFUNCTION("""COMPUTED_VALUE"""),"")</f>
        <v/>
      </c>
      <c r="H42" s="28" t="str">
        <f ca="1">IFERROR(__xludf.DUMMYFUNCTION("""COMPUTED_VALUE"""),"")</f>
        <v/>
      </c>
      <c r="I42" s="27" t="str">
        <f ca="1">IFERROR(__xludf.DUMMYFUNCTION("""COMPUTED_VALUE"""),"")</f>
        <v/>
      </c>
      <c r="J42" s="28" t="str">
        <f ca="1">IFERROR(__xludf.DUMMYFUNCTION("""COMPUTED_VALUE"""),"")</f>
        <v/>
      </c>
      <c r="K42" s="27" t="str">
        <f ca="1">IFERROR(__xludf.DUMMYFUNCTION("""COMPUTED_VALUE"""),"")</f>
        <v/>
      </c>
      <c r="L42" s="28" t="str">
        <f ca="1">IFERROR(__xludf.DUMMYFUNCTION("""COMPUTED_VALUE"""),"")</f>
        <v/>
      </c>
      <c r="M42" s="27" t="str">
        <f ca="1">IFERROR(__xludf.DUMMYFUNCTION("""COMPUTED_VALUE"""),"")</f>
        <v/>
      </c>
      <c r="N42" s="40" t="str">
        <f ca="1">IFERROR(__xludf.DUMMYFUNCTION("""COMPUTED_VALUE"""),"")</f>
        <v/>
      </c>
    </row>
    <row r="43" spans="2:14" ht="12.5">
      <c r="B43" s="32"/>
      <c r="C43" s="33" t="str">
        <f ca="1">IFERROR(__xludf.DUMMYFUNCTION("""COMPUTED_VALUE"""),"")</f>
        <v/>
      </c>
      <c r="D43" s="34" t="str">
        <f ca="1">IFERROR(__xludf.DUMMYFUNCTION("""COMPUTED_VALUE"""),"")</f>
        <v/>
      </c>
      <c r="E43" s="39" t="str">
        <f ca="1">IFERROR(__xludf.DUMMYFUNCTION("""COMPUTED_VALUE"""),"")</f>
        <v/>
      </c>
      <c r="F43" s="28" t="str">
        <f ca="1">IFERROR(__xludf.DUMMYFUNCTION("""COMPUTED_VALUE"""),"")</f>
        <v/>
      </c>
      <c r="G43" s="27" t="str">
        <f ca="1">IFERROR(__xludf.DUMMYFUNCTION("""COMPUTED_VALUE"""),"")</f>
        <v/>
      </c>
      <c r="H43" s="28" t="str">
        <f ca="1">IFERROR(__xludf.DUMMYFUNCTION("""COMPUTED_VALUE"""),"")</f>
        <v/>
      </c>
      <c r="I43" s="27" t="str">
        <f ca="1">IFERROR(__xludf.DUMMYFUNCTION("""COMPUTED_VALUE"""),"")</f>
        <v/>
      </c>
      <c r="J43" s="28" t="str">
        <f ca="1">IFERROR(__xludf.DUMMYFUNCTION("""COMPUTED_VALUE"""),"")</f>
        <v/>
      </c>
      <c r="K43" s="27" t="str">
        <f ca="1">IFERROR(__xludf.DUMMYFUNCTION("""COMPUTED_VALUE"""),"")</f>
        <v/>
      </c>
      <c r="L43" s="28" t="str">
        <f ca="1">IFERROR(__xludf.DUMMYFUNCTION("""COMPUTED_VALUE"""),"")</f>
        <v/>
      </c>
      <c r="M43" s="27" t="str">
        <f ca="1">IFERROR(__xludf.DUMMYFUNCTION("""COMPUTED_VALUE"""),"")</f>
        <v/>
      </c>
      <c r="N43" s="40" t="str">
        <f ca="1">IFERROR(__xludf.DUMMYFUNCTION("""COMPUTED_VALUE"""),"")</f>
        <v/>
      </c>
    </row>
    <row r="44" spans="2:14" ht="12.5">
      <c r="B44" s="32"/>
      <c r="C44" s="33" t="str">
        <f ca="1">IFERROR(__xludf.DUMMYFUNCTION("""COMPUTED_VALUE"""),"")</f>
        <v/>
      </c>
      <c r="D44" s="34" t="str">
        <f ca="1">IFERROR(__xludf.DUMMYFUNCTION("""COMPUTED_VALUE"""),"")</f>
        <v/>
      </c>
      <c r="E44" s="39" t="str">
        <f ca="1">IFERROR(__xludf.DUMMYFUNCTION("""COMPUTED_VALUE"""),"")</f>
        <v/>
      </c>
      <c r="F44" s="28" t="str">
        <f ca="1">IFERROR(__xludf.DUMMYFUNCTION("""COMPUTED_VALUE"""),"")</f>
        <v/>
      </c>
      <c r="G44" s="27" t="str">
        <f ca="1">IFERROR(__xludf.DUMMYFUNCTION("""COMPUTED_VALUE"""),"")</f>
        <v/>
      </c>
      <c r="H44" s="28" t="str">
        <f ca="1">IFERROR(__xludf.DUMMYFUNCTION("""COMPUTED_VALUE"""),"")</f>
        <v/>
      </c>
      <c r="I44" s="27" t="str">
        <f ca="1">IFERROR(__xludf.DUMMYFUNCTION("""COMPUTED_VALUE"""),"")</f>
        <v/>
      </c>
      <c r="J44" s="28" t="str">
        <f ca="1">IFERROR(__xludf.DUMMYFUNCTION("""COMPUTED_VALUE"""),"")</f>
        <v/>
      </c>
      <c r="K44" s="27" t="str">
        <f ca="1">IFERROR(__xludf.DUMMYFUNCTION("""COMPUTED_VALUE"""),"")</f>
        <v/>
      </c>
      <c r="L44" s="28" t="str">
        <f ca="1">IFERROR(__xludf.DUMMYFUNCTION("""COMPUTED_VALUE"""),"")</f>
        <v/>
      </c>
      <c r="M44" s="27" t="str">
        <f ca="1">IFERROR(__xludf.DUMMYFUNCTION("""COMPUTED_VALUE"""),"")</f>
        <v/>
      </c>
      <c r="N44" s="40" t="str">
        <f ca="1">IFERROR(__xludf.DUMMYFUNCTION("""COMPUTED_VALUE"""),"")</f>
        <v/>
      </c>
    </row>
    <row r="45" spans="2:14" ht="12.5">
      <c r="B45" s="32"/>
      <c r="C45" s="33" t="str">
        <f ca="1">IFERROR(__xludf.DUMMYFUNCTION("""COMPUTED_VALUE"""),"")</f>
        <v/>
      </c>
      <c r="D45" s="34" t="str">
        <f ca="1">IFERROR(__xludf.DUMMYFUNCTION("""COMPUTED_VALUE"""),"")</f>
        <v/>
      </c>
      <c r="E45" s="39" t="str">
        <f ca="1">IFERROR(__xludf.DUMMYFUNCTION("""COMPUTED_VALUE"""),"")</f>
        <v/>
      </c>
      <c r="F45" s="28" t="str">
        <f ca="1">IFERROR(__xludf.DUMMYFUNCTION("""COMPUTED_VALUE"""),"")</f>
        <v/>
      </c>
      <c r="G45" s="27" t="str">
        <f ca="1">IFERROR(__xludf.DUMMYFUNCTION("""COMPUTED_VALUE"""),"")</f>
        <v/>
      </c>
      <c r="H45" s="28" t="str">
        <f ca="1">IFERROR(__xludf.DUMMYFUNCTION("""COMPUTED_VALUE"""),"")</f>
        <v/>
      </c>
      <c r="I45" s="27" t="str">
        <f ca="1">IFERROR(__xludf.DUMMYFUNCTION("""COMPUTED_VALUE"""),"")</f>
        <v/>
      </c>
      <c r="J45" s="28" t="str">
        <f ca="1">IFERROR(__xludf.DUMMYFUNCTION("""COMPUTED_VALUE"""),"")</f>
        <v/>
      </c>
      <c r="K45" s="27" t="str">
        <f ca="1">IFERROR(__xludf.DUMMYFUNCTION("""COMPUTED_VALUE"""),"")</f>
        <v/>
      </c>
      <c r="L45" s="28" t="str">
        <f ca="1">IFERROR(__xludf.DUMMYFUNCTION("""COMPUTED_VALUE"""),"")</f>
        <v/>
      </c>
      <c r="M45" s="27" t="str">
        <f ca="1">IFERROR(__xludf.DUMMYFUNCTION("""COMPUTED_VALUE"""),"")</f>
        <v/>
      </c>
      <c r="N45" s="40" t="str">
        <f ca="1">IFERROR(__xludf.DUMMYFUNCTION("""COMPUTED_VALUE"""),"")</f>
        <v/>
      </c>
    </row>
    <row r="46" spans="2:14" ht="12.5">
      <c r="B46" s="32"/>
      <c r="C46" s="33" t="str">
        <f ca="1">IFERROR(__xludf.DUMMYFUNCTION("""COMPUTED_VALUE"""),"")</f>
        <v/>
      </c>
      <c r="D46" s="34" t="str">
        <f ca="1">IFERROR(__xludf.DUMMYFUNCTION("""COMPUTED_VALUE"""),"")</f>
        <v/>
      </c>
      <c r="E46" s="39" t="str">
        <f ca="1">IFERROR(__xludf.DUMMYFUNCTION("""COMPUTED_VALUE"""),"")</f>
        <v/>
      </c>
      <c r="F46" s="28" t="str">
        <f ca="1">IFERROR(__xludf.DUMMYFUNCTION("""COMPUTED_VALUE"""),"")</f>
        <v/>
      </c>
      <c r="G46" s="27" t="str">
        <f ca="1">IFERROR(__xludf.DUMMYFUNCTION("""COMPUTED_VALUE"""),"")</f>
        <v/>
      </c>
      <c r="H46" s="28" t="str">
        <f ca="1">IFERROR(__xludf.DUMMYFUNCTION("""COMPUTED_VALUE"""),"")</f>
        <v/>
      </c>
      <c r="I46" s="27" t="str">
        <f ca="1">IFERROR(__xludf.DUMMYFUNCTION("""COMPUTED_VALUE"""),"")</f>
        <v/>
      </c>
      <c r="J46" s="28" t="str">
        <f ca="1">IFERROR(__xludf.DUMMYFUNCTION("""COMPUTED_VALUE"""),"")</f>
        <v/>
      </c>
      <c r="K46" s="27" t="str">
        <f ca="1">IFERROR(__xludf.DUMMYFUNCTION("""COMPUTED_VALUE"""),"")</f>
        <v/>
      </c>
      <c r="L46" s="28" t="str">
        <f ca="1">IFERROR(__xludf.DUMMYFUNCTION("""COMPUTED_VALUE"""),"")</f>
        <v/>
      </c>
      <c r="M46" s="27" t="str">
        <f ca="1">IFERROR(__xludf.DUMMYFUNCTION("""COMPUTED_VALUE"""),"")</f>
        <v/>
      </c>
      <c r="N46" s="40" t="str">
        <f ca="1">IFERROR(__xludf.DUMMYFUNCTION("""COMPUTED_VALUE"""),"")</f>
        <v/>
      </c>
    </row>
    <row r="47" spans="2:14" ht="12.5">
      <c r="B47" s="32"/>
      <c r="C47" s="33" t="str">
        <f ca="1">IFERROR(__xludf.DUMMYFUNCTION("""COMPUTED_VALUE"""),"")</f>
        <v/>
      </c>
      <c r="D47" s="34" t="str">
        <f ca="1">IFERROR(__xludf.DUMMYFUNCTION("""COMPUTED_VALUE"""),"")</f>
        <v/>
      </c>
      <c r="E47" s="39" t="str">
        <f ca="1">IFERROR(__xludf.DUMMYFUNCTION("""COMPUTED_VALUE"""),"")</f>
        <v/>
      </c>
      <c r="F47" s="28" t="str">
        <f ca="1">IFERROR(__xludf.DUMMYFUNCTION("""COMPUTED_VALUE"""),"")</f>
        <v/>
      </c>
      <c r="G47" s="27" t="str">
        <f ca="1">IFERROR(__xludf.DUMMYFUNCTION("""COMPUTED_VALUE"""),"")</f>
        <v/>
      </c>
      <c r="H47" s="28" t="str">
        <f ca="1">IFERROR(__xludf.DUMMYFUNCTION("""COMPUTED_VALUE"""),"")</f>
        <v/>
      </c>
      <c r="I47" s="27" t="str">
        <f ca="1">IFERROR(__xludf.DUMMYFUNCTION("""COMPUTED_VALUE"""),"")</f>
        <v/>
      </c>
      <c r="J47" s="28" t="str">
        <f ca="1">IFERROR(__xludf.DUMMYFUNCTION("""COMPUTED_VALUE"""),"")</f>
        <v/>
      </c>
      <c r="K47" s="27" t="str">
        <f ca="1">IFERROR(__xludf.DUMMYFUNCTION("""COMPUTED_VALUE"""),"")</f>
        <v/>
      </c>
      <c r="L47" s="28" t="str">
        <f ca="1">IFERROR(__xludf.DUMMYFUNCTION("""COMPUTED_VALUE"""),"")</f>
        <v/>
      </c>
      <c r="M47" s="27" t="str">
        <f ca="1">IFERROR(__xludf.DUMMYFUNCTION("""COMPUTED_VALUE"""),"")</f>
        <v/>
      </c>
      <c r="N47" s="40" t="str">
        <f ca="1">IFERROR(__xludf.DUMMYFUNCTION("""COMPUTED_VALUE"""),"")</f>
        <v/>
      </c>
    </row>
    <row r="48" spans="2:14" ht="12.5">
      <c r="B48" s="32"/>
      <c r="C48" s="33" t="str">
        <f ca="1">IFERROR(__xludf.DUMMYFUNCTION("""COMPUTED_VALUE"""),"")</f>
        <v/>
      </c>
      <c r="D48" s="34" t="str">
        <f ca="1">IFERROR(__xludf.DUMMYFUNCTION("""COMPUTED_VALUE"""),"")</f>
        <v/>
      </c>
      <c r="E48" s="39" t="str">
        <f ca="1">IFERROR(__xludf.DUMMYFUNCTION("""COMPUTED_VALUE"""),"")</f>
        <v/>
      </c>
      <c r="F48" s="28" t="str">
        <f ca="1">IFERROR(__xludf.DUMMYFUNCTION("""COMPUTED_VALUE"""),"")</f>
        <v/>
      </c>
      <c r="G48" s="27" t="str">
        <f ca="1">IFERROR(__xludf.DUMMYFUNCTION("""COMPUTED_VALUE"""),"")</f>
        <v/>
      </c>
      <c r="H48" s="28" t="str">
        <f ca="1">IFERROR(__xludf.DUMMYFUNCTION("""COMPUTED_VALUE"""),"")</f>
        <v/>
      </c>
      <c r="I48" s="27" t="str">
        <f ca="1">IFERROR(__xludf.DUMMYFUNCTION("""COMPUTED_VALUE"""),"")</f>
        <v/>
      </c>
      <c r="J48" s="28" t="str">
        <f ca="1">IFERROR(__xludf.DUMMYFUNCTION("""COMPUTED_VALUE"""),"")</f>
        <v/>
      </c>
      <c r="K48" s="27" t="str">
        <f ca="1">IFERROR(__xludf.DUMMYFUNCTION("""COMPUTED_VALUE"""),"")</f>
        <v/>
      </c>
      <c r="L48" s="28" t="str">
        <f ca="1">IFERROR(__xludf.DUMMYFUNCTION("""COMPUTED_VALUE"""),"")</f>
        <v/>
      </c>
      <c r="M48" s="27" t="str">
        <f ca="1">IFERROR(__xludf.DUMMYFUNCTION("""COMPUTED_VALUE"""),"")</f>
        <v/>
      </c>
      <c r="N48" s="40" t="str">
        <f ca="1">IFERROR(__xludf.DUMMYFUNCTION("""COMPUTED_VALUE"""),"")</f>
        <v/>
      </c>
    </row>
    <row r="49" spans="2:14" ht="12.5">
      <c r="B49" s="32"/>
      <c r="C49" s="33" t="str">
        <f ca="1">IFERROR(__xludf.DUMMYFUNCTION("""COMPUTED_VALUE"""),"")</f>
        <v/>
      </c>
      <c r="D49" s="34" t="str">
        <f ca="1">IFERROR(__xludf.DUMMYFUNCTION("""COMPUTED_VALUE"""),"")</f>
        <v/>
      </c>
      <c r="E49" s="39" t="str">
        <f ca="1">IFERROR(__xludf.DUMMYFUNCTION("""COMPUTED_VALUE"""),"")</f>
        <v/>
      </c>
      <c r="F49" s="28" t="str">
        <f ca="1">IFERROR(__xludf.DUMMYFUNCTION("""COMPUTED_VALUE"""),"")</f>
        <v/>
      </c>
      <c r="G49" s="27" t="str">
        <f ca="1">IFERROR(__xludf.DUMMYFUNCTION("""COMPUTED_VALUE"""),"")</f>
        <v/>
      </c>
      <c r="H49" s="28" t="str">
        <f ca="1">IFERROR(__xludf.DUMMYFUNCTION("""COMPUTED_VALUE"""),"")</f>
        <v/>
      </c>
      <c r="I49" s="27" t="str">
        <f ca="1">IFERROR(__xludf.DUMMYFUNCTION("""COMPUTED_VALUE"""),"")</f>
        <v/>
      </c>
      <c r="J49" s="28" t="str">
        <f ca="1">IFERROR(__xludf.DUMMYFUNCTION("""COMPUTED_VALUE"""),"")</f>
        <v/>
      </c>
      <c r="K49" s="27" t="str">
        <f ca="1">IFERROR(__xludf.DUMMYFUNCTION("""COMPUTED_VALUE"""),"")</f>
        <v/>
      </c>
      <c r="L49" s="28" t="str">
        <f ca="1">IFERROR(__xludf.DUMMYFUNCTION("""COMPUTED_VALUE"""),"")</f>
        <v/>
      </c>
      <c r="M49" s="27" t="str">
        <f ca="1">IFERROR(__xludf.DUMMYFUNCTION("""COMPUTED_VALUE"""),"")</f>
        <v/>
      </c>
      <c r="N49" s="40" t="str">
        <f ca="1">IFERROR(__xludf.DUMMYFUNCTION("""COMPUTED_VALUE"""),"")</f>
        <v/>
      </c>
    </row>
    <row r="50" spans="2:14" ht="12.5">
      <c r="B50" s="32"/>
      <c r="C50" s="33" t="str">
        <f ca="1">IFERROR(__xludf.DUMMYFUNCTION("""COMPUTED_VALUE"""),"")</f>
        <v/>
      </c>
      <c r="D50" s="34" t="str">
        <f ca="1">IFERROR(__xludf.DUMMYFUNCTION("""COMPUTED_VALUE"""),"")</f>
        <v/>
      </c>
      <c r="E50" s="39" t="str">
        <f ca="1">IFERROR(__xludf.DUMMYFUNCTION("""COMPUTED_VALUE"""),"")</f>
        <v/>
      </c>
      <c r="F50" s="28" t="str">
        <f ca="1">IFERROR(__xludf.DUMMYFUNCTION("""COMPUTED_VALUE"""),"")</f>
        <v/>
      </c>
      <c r="G50" s="27" t="str">
        <f ca="1">IFERROR(__xludf.DUMMYFUNCTION("""COMPUTED_VALUE"""),"")</f>
        <v/>
      </c>
      <c r="H50" s="28" t="str">
        <f ca="1">IFERROR(__xludf.DUMMYFUNCTION("""COMPUTED_VALUE"""),"")</f>
        <v/>
      </c>
      <c r="I50" s="27" t="str">
        <f ca="1">IFERROR(__xludf.DUMMYFUNCTION("""COMPUTED_VALUE"""),"")</f>
        <v/>
      </c>
      <c r="J50" s="28" t="str">
        <f ca="1">IFERROR(__xludf.DUMMYFUNCTION("""COMPUTED_VALUE"""),"")</f>
        <v/>
      </c>
      <c r="K50" s="27" t="str">
        <f ca="1">IFERROR(__xludf.DUMMYFUNCTION("""COMPUTED_VALUE"""),"")</f>
        <v/>
      </c>
      <c r="L50" s="28" t="str">
        <f ca="1">IFERROR(__xludf.DUMMYFUNCTION("""COMPUTED_VALUE"""),"")</f>
        <v/>
      </c>
      <c r="M50" s="27" t="str">
        <f ca="1">IFERROR(__xludf.DUMMYFUNCTION("""COMPUTED_VALUE"""),"")</f>
        <v/>
      </c>
      <c r="N50" s="40" t="str">
        <f ca="1">IFERROR(__xludf.DUMMYFUNCTION("""COMPUTED_VALUE"""),"")</f>
        <v/>
      </c>
    </row>
    <row r="51" spans="2:14" ht="12.5">
      <c r="B51" s="32"/>
      <c r="C51" s="33" t="str">
        <f ca="1">IFERROR(__xludf.DUMMYFUNCTION("""COMPUTED_VALUE"""),"")</f>
        <v/>
      </c>
      <c r="D51" s="34" t="str">
        <f ca="1">IFERROR(__xludf.DUMMYFUNCTION("""COMPUTED_VALUE"""),"")</f>
        <v/>
      </c>
      <c r="E51" s="39" t="str">
        <f ca="1">IFERROR(__xludf.DUMMYFUNCTION("""COMPUTED_VALUE"""),"")</f>
        <v/>
      </c>
      <c r="F51" s="28" t="str">
        <f ca="1">IFERROR(__xludf.DUMMYFUNCTION("""COMPUTED_VALUE"""),"")</f>
        <v/>
      </c>
      <c r="G51" s="27" t="str">
        <f ca="1">IFERROR(__xludf.DUMMYFUNCTION("""COMPUTED_VALUE"""),"")</f>
        <v/>
      </c>
      <c r="H51" s="28" t="str">
        <f ca="1">IFERROR(__xludf.DUMMYFUNCTION("""COMPUTED_VALUE"""),"")</f>
        <v/>
      </c>
      <c r="I51" s="27" t="str">
        <f ca="1">IFERROR(__xludf.DUMMYFUNCTION("""COMPUTED_VALUE"""),"")</f>
        <v/>
      </c>
      <c r="J51" s="28" t="str">
        <f ca="1">IFERROR(__xludf.DUMMYFUNCTION("""COMPUTED_VALUE"""),"")</f>
        <v/>
      </c>
      <c r="K51" s="27" t="str">
        <f ca="1">IFERROR(__xludf.DUMMYFUNCTION("""COMPUTED_VALUE"""),"")</f>
        <v/>
      </c>
      <c r="L51" s="28" t="str">
        <f ca="1">IFERROR(__xludf.DUMMYFUNCTION("""COMPUTED_VALUE"""),"")</f>
        <v/>
      </c>
      <c r="M51" s="27" t="str">
        <f ca="1">IFERROR(__xludf.DUMMYFUNCTION("""COMPUTED_VALUE"""),"")</f>
        <v/>
      </c>
      <c r="N51" s="40" t="str">
        <f ca="1">IFERROR(__xludf.DUMMYFUNCTION("""COMPUTED_VALUE"""),"")</f>
        <v/>
      </c>
    </row>
    <row r="52" spans="2:14" ht="12.5">
      <c r="B52" s="32"/>
      <c r="C52" s="33" t="str">
        <f ca="1">IFERROR(__xludf.DUMMYFUNCTION("""COMPUTED_VALUE"""),"")</f>
        <v/>
      </c>
      <c r="D52" s="34" t="str">
        <f ca="1">IFERROR(__xludf.DUMMYFUNCTION("""COMPUTED_VALUE"""),"")</f>
        <v/>
      </c>
      <c r="E52" s="39" t="str">
        <f ca="1">IFERROR(__xludf.DUMMYFUNCTION("""COMPUTED_VALUE"""),"")</f>
        <v/>
      </c>
      <c r="F52" s="28" t="str">
        <f ca="1">IFERROR(__xludf.DUMMYFUNCTION("""COMPUTED_VALUE"""),"")</f>
        <v/>
      </c>
      <c r="G52" s="27" t="str">
        <f ca="1">IFERROR(__xludf.DUMMYFUNCTION("""COMPUTED_VALUE"""),"")</f>
        <v/>
      </c>
      <c r="H52" s="28" t="str">
        <f ca="1">IFERROR(__xludf.DUMMYFUNCTION("""COMPUTED_VALUE"""),"")</f>
        <v/>
      </c>
      <c r="I52" s="27" t="str">
        <f ca="1">IFERROR(__xludf.DUMMYFUNCTION("""COMPUTED_VALUE"""),"")</f>
        <v/>
      </c>
      <c r="J52" s="28" t="str">
        <f ca="1">IFERROR(__xludf.DUMMYFUNCTION("""COMPUTED_VALUE"""),"")</f>
        <v/>
      </c>
      <c r="K52" s="27" t="str">
        <f ca="1">IFERROR(__xludf.DUMMYFUNCTION("""COMPUTED_VALUE"""),"")</f>
        <v/>
      </c>
      <c r="L52" s="28" t="str">
        <f ca="1">IFERROR(__xludf.DUMMYFUNCTION("""COMPUTED_VALUE"""),"")</f>
        <v/>
      </c>
      <c r="M52" s="27" t="str">
        <f ca="1">IFERROR(__xludf.DUMMYFUNCTION("""COMPUTED_VALUE"""),"")</f>
        <v/>
      </c>
      <c r="N52" s="40" t="str">
        <f ca="1">IFERROR(__xludf.DUMMYFUNCTION("""COMPUTED_VALUE"""),"")</f>
        <v/>
      </c>
    </row>
    <row r="53" spans="2:14" ht="12.5">
      <c r="B53" s="32"/>
      <c r="C53" s="33" t="str">
        <f ca="1">IFERROR(__xludf.DUMMYFUNCTION("""COMPUTED_VALUE"""),"")</f>
        <v/>
      </c>
      <c r="D53" s="34" t="str">
        <f ca="1">IFERROR(__xludf.DUMMYFUNCTION("""COMPUTED_VALUE"""),"")</f>
        <v/>
      </c>
      <c r="E53" s="39" t="str">
        <f ca="1">IFERROR(__xludf.DUMMYFUNCTION("""COMPUTED_VALUE"""),"")</f>
        <v/>
      </c>
      <c r="F53" s="28" t="str">
        <f ca="1">IFERROR(__xludf.DUMMYFUNCTION("""COMPUTED_VALUE"""),"")</f>
        <v/>
      </c>
      <c r="G53" s="27" t="str">
        <f ca="1">IFERROR(__xludf.DUMMYFUNCTION("""COMPUTED_VALUE"""),"")</f>
        <v/>
      </c>
      <c r="H53" s="28" t="str">
        <f ca="1">IFERROR(__xludf.DUMMYFUNCTION("""COMPUTED_VALUE"""),"")</f>
        <v/>
      </c>
      <c r="I53" s="27" t="str">
        <f ca="1">IFERROR(__xludf.DUMMYFUNCTION("""COMPUTED_VALUE"""),"")</f>
        <v/>
      </c>
      <c r="J53" s="28" t="str">
        <f ca="1">IFERROR(__xludf.DUMMYFUNCTION("""COMPUTED_VALUE"""),"")</f>
        <v/>
      </c>
      <c r="K53" s="27" t="str">
        <f ca="1">IFERROR(__xludf.DUMMYFUNCTION("""COMPUTED_VALUE"""),"")</f>
        <v/>
      </c>
      <c r="L53" s="28" t="str">
        <f ca="1">IFERROR(__xludf.DUMMYFUNCTION("""COMPUTED_VALUE"""),"")</f>
        <v/>
      </c>
      <c r="M53" s="27" t="str">
        <f ca="1">IFERROR(__xludf.DUMMYFUNCTION("""COMPUTED_VALUE"""),"")</f>
        <v/>
      </c>
      <c r="N53" s="40" t="str">
        <f ca="1">IFERROR(__xludf.DUMMYFUNCTION("""COMPUTED_VALUE"""),"")</f>
        <v/>
      </c>
    </row>
    <row r="54" spans="2:14" ht="12.5">
      <c r="B54" s="32"/>
      <c r="C54" s="33" t="str">
        <f ca="1">IFERROR(__xludf.DUMMYFUNCTION("""COMPUTED_VALUE"""),"")</f>
        <v/>
      </c>
      <c r="D54" s="34" t="str">
        <f ca="1">IFERROR(__xludf.DUMMYFUNCTION("""COMPUTED_VALUE"""),"")</f>
        <v/>
      </c>
      <c r="E54" s="39" t="str">
        <f ca="1">IFERROR(__xludf.DUMMYFUNCTION("""COMPUTED_VALUE"""),"")</f>
        <v/>
      </c>
      <c r="F54" s="28" t="str">
        <f ca="1">IFERROR(__xludf.DUMMYFUNCTION("""COMPUTED_VALUE"""),"")</f>
        <v/>
      </c>
      <c r="G54" s="27" t="str">
        <f ca="1">IFERROR(__xludf.DUMMYFUNCTION("""COMPUTED_VALUE"""),"")</f>
        <v/>
      </c>
      <c r="H54" s="28" t="str">
        <f ca="1">IFERROR(__xludf.DUMMYFUNCTION("""COMPUTED_VALUE"""),"")</f>
        <v/>
      </c>
      <c r="I54" s="27" t="str">
        <f ca="1">IFERROR(__xludf.DUMMYFUNCTION("""COMPUTED_VALUE"""),"")</f>
        <v/>
      </c>
      <c r="J54" s="28" t="str">
        <f ca="1">IFERROR(__xludf.DUMMYFUNCTION("""COMPUTED_VALUE"""),"")</f>
        <v/>
      </c>
      <c r="K54" s="27" t="str">
        <f ca="1">IFERROR(__xludf.DUMMYFUNCTION("""COMPUTED_VALUE"""),"")</f>
        <v/>
      </c>
      <c r="L54" s="28" t="str">
        <f ca="1">IFERROR(__xludf.DUMMYFUNCTION("""COMPUTED_VALUE"""),"")</f>
        <v/>
      </c>
      <c r="M54" s="27" t="str">
        <f ca="1">IFERROR(__xludf.DUMMYFUNCTION("""COMPUTED_VALUE"""),"")</f>
        <v/>
      </c>
      <c r="N54" s="40" t="str">
        <f ca="1">IFERROR(__xludf.DUMMYFUNCTION("""COMPUTED_VALUE"""),"")</f>
        <v/>
      </c>
    </row>
    <row r="55" spans="2:14" ht="12.5">
      <c r="B55" s="32"/>
      <c r="C55" s="33" t="str">
        <f ca="1">IFERROR(__xludf.DUMMYFUNCTION("""COMPUTED_VALUE"""),"")</f>
        <v/>
      </c>
      <c r="D55" s="34" t="str">
        <f ca="1">IFERROR(__xludf.DUMMYFUNCTION("""COMPUTED_VALUE"""),"")</f>
        <v/>
      </c>
      <c r="E55" s="39" t="str">
        <f ca="1">IFERROR(__xludf.DUMMYFUNCTION("""COMPUTED_VALUE"""),"")</f>
        <v/>
      </c>
      <c r="F55" s="28" t="str">
        <f ca="1">IFERROR(__xludf.DUMMYFUNCTION("""COMPUTED_VALUE"""),"")</f>
        <v/>
      </c>
      <c r="G55" s="27" t="str">
        <f ca="1">IFERROR(__xludf.DUMMYFUNCTION("""COMPUTED_VALUE"""),"")</f>
        <v/>
      </c>
      <c r="H55" s="28" t="str">
        <f ca="1">IFERROR(__xludf.DUMMYFUNCTION("""COMPUTED_VALUE"""),"")</f>
        <v/>
      </c>
      <c r="I55" s="27" t="str">
        <f ca="1">IFERROR(__xludf.DUMMYFUNCTION("""COMPUTED_VALUE"""),"")</f>
        <v/>
      </c>
      <c r="J55" s="28" t="str">
        <f ca="1">IFERROR(__xludf.DUMMYFUNCTION("""COMPUTED_VALUE"""),"")</f>
        <v/>
      </c>
      <c r="K55" s="27" t="str">
        <f ca="1">IFERROR(__xludf.DUMMYFUNCTION("""COMPUTED_VALUE"""),"")</f>
        <v/>
      </c>
      <c r="L55" s="28" t="str">
        <f ca="1">IFERROR(__xludf.DUMMYFUNCTION("""COMPUTED_VALUE"""),"")</f>
        <v/>
      </c>
      <c r="M55" s="27" t="str">
        <f ca="1">IFERROR(__xludf.DUMMYFUNCTION("""COMPUTED_VALUE"""),"")</f>
        <v/>
      </c>
      <c r="N55" s="40" t="str">
        <f ca="1">IFERROR(__xludf.DUMMYFUNCTION("""COMPUTED_VALUE"""),"")</f>
        <v/>
      </c>
    </row>
    <row r="56" spans="2:14" ht="12.5">
      <c r="B56" s="32"/>
      <c r="C56" s="33" t="str">
        <f ca="1">IFERROR(__xludf.DUMMYFUNCTION("""COMPUTED_VALUE"""),"")</f>
        <v/>
      </c>
      <c r="D56" s="34" t="str">
        <f ca="1">IFERROR(__xludf.DUMMYFUNCTION("""COMPUTED_VALUE"""),"")</f>
        <v/>
      </c>
      <c r="E56" s="39" t="str">
        <f ca="1">IFERROR(__xludf.DUMMYFUNCTION("""COMPUTED_VALUE"""),"")</f>
        <v/>
      </c>
      <c r="F56" s="28" t="str">
        <f ca="1">IFERROR(__xludf.DUMMYFUNCTION("""COMPUTED_VALUE"""),"")</f>
        <v/>
      </c>
      <c r="G56" s="27" t="str">
        <f ca="1">IFERROR(__xludf.DUMMYFUNCTION("""COMPUTED_VALUE"""),"")</f>
        <v/>
      </c>
      <c r="H56" s="28" t="str">
        <f ca="1">IFERROR(__xludf.DUMMYFUNCTION("""COMPUTED_VALUE"""),"")</f>
        <v/>
      </c>
      <c r="I56" s="27" t="str">
        <f ca="1">IFERROR(__xludf.DUMMYFUNCTION("""COMPUTED_VALUE"""),"")</f>
        <v/>
      </c>
      <c r="J56" s="28" t="str">
        <f ca="1">IFERROR(__xludf.DUMMYFUNCTION("""COMPUTED_VALUE"""),"")</f>
        <v/>
      </c>
      <c r="K56" s="27" t="str">
        <f ca="1">IFERROR(__xludf.DUMMYFUNCTION("""COMPUTED_VALUE"""),"")</f>
        <v/>
      </c>
      <c r="L56" s="28" t="str">
        <f ca="1">IFERROR(__xludf.DUMMYFUNCTION("""COMPUTED_VALUE"""),"")</f>
        <v/>
      </c>
      <c r="M56" s="27" t="str">
        <f ca="1">IFERROR(__xludf.DUMMYFUNCTION("""COMPUTED_VALUE"""),"")</f>
        <v/>
      </c>
      <c r="N56" s="40" t="str">
        <f ca="1">IFERROR(__xludf.DUMMYFUNCTION("""COMPUTED_VALUE"""),"")</f>
        <v/>
      </c>
    </row>
    <row r="57" spans="2:14" ht="12.5">
      <c r="B57" s="32"/>
      <c r="C57" s="33" t="str">
        <f ca="1">IFERROR(__xludf.DUMMYFUNCTION("""COMPUTED_VALUE"""),"")</f>
        <v/>
      </c>
      <c r="D57" s="34" t="str">
        <f ca="1">IFERROR(__xludf.DUMMYFUNCTION("""COMPUTED_VALUE"""),"")</f>
        <v/>
      </c>
      <c r="E57" s="39" t="str">
        <f ca="1">IFERROR(__xludf.DUMMYFUNCTION("""COMPUTED_VALUE"""),"")</f>
        <v/>
      </c>
      <c r="F57" s="28" t="str">
        <f ca="1">IFERROR(__xludf.DUMMYFUNCTION("""COMPUTED_VALUE"""),"")</f>
        <v/>
      </c>
      <c r="G57" s="27" t="str">
        <f ca="1">IFERROR(__xludf.DUMMYFUNCTION("""COMPUTED_VALUE"""),"")</f>
        <v/>
      </c>
      <c r="H57" s="28" t="str">
        <f ca="1">IFERROR(__xludf.DUMMYFUNCTION("""COMPUTED_VALUE"""),"")</f>
        <v/>
      </c>
      <c r="I57" s="27" t="str">
        <f ca="1">IFERROR(__xludf.DUMMYFUNCTION("""COMPUTED_VALUE"""),"")</f>
        <v/>
      </c>
      <c r="J57" s="28" t="str">
        <f ca="1">IFERROR(__xludf.DUMMYFUNCTION("""COMPUTED_VALUE"""),"")</f>
        <v/>
      </c>
      <c r="K57" s="27" t="str">
        <f ca="1">IFERROR(__xludf.DUMMYFUNCTION("""COMPUTED_VALUE"""),"")</f>
        <v/>
      </c>
      <c r="L57" s="28" t="str">
        <f ca="1">IFERROR(__xludf.DUMMYFUNCTION("""COMPUTED_VALUE"""),"")</f>
        <v/>
      </c>
      <c r="M57" s="27" t="str">
        <f ca="1">IFERROR(__xludf.DUMMYFUNCTION("""COMPUTED_VALUE"""),"")</f>
        <v/>
      </c>
      <c r="N57" s="40" t="str">
        <f ca="1">IFERROR(__xludf.DUMMYFUNCTION("""COMPUTED_VALUE"""),"")</f>
        <v/>
      </c>
    </row>
    <row r="58" spans="2:14" ht="12.5">
      <c r="B58" s="32"/>
      <c r="C58" s="33" t="str">
        <f ca="1">IFERROR(__xludf.DUMMYFUNCTION("""COMPUTED_VALUE"""),"")</f>
        <v/>
      </c>
      <c r="D58" s="34" t="str">
        <f ca="1">IFERROR(__xludf.DUMMYFUNCTION("""COMPUTED_VALUE"""),"")</f>
        <v/>
      </c>
      <c r="E58" s="39" t="str">
        <f ca="1">IFERROR(__xludf.DUMMYFUNCTION("""COMPUTED_VALUE"""),"")</f>
        <v/>
      </c>
      <c r="F58" s="28" t="str">
        <f ca="1">IFERROR(__xludf.DUMMYFUNCTION("""COMPUTED_VALUE"""),"")</f>
        <v/>
      </c>
      <c r="G58" s="27" t="str">
        <f ca="1">IFERROR(__xludf.DUMMYFUNCTION("""COMPUTED_VALUE"""),"")</f>
        <v/>
      </c>
      <c r="H58" s="28" t="str">
        <f ca="1">IFERROR(__xludf.DUMMYFUNCTION("""COMPUTED_VALUE"""),"")</f>
        <v/>
      </c>
      <c r="I58" s="27" t="str">
        <f ca="1">IFERROR(__xludf.DUMMYFUNCTION("""COMPUTED_VALUE"""),"")</f>
        <v/>
      </c>
      <c r="J58" s="28" t="str">
        <f ca="1">IFERROR(__xludf.DUMMYFUNCTION("""COMPUTED_VALUE"""),"")</f>
        <v/>
      </c>
      <c r="K58" s="27" t="str">
        <f ca="1">IFERROR(__xludf.DUMMYFUNCTION("""COMPUTED_VALUE"""),"")</f>
        <v/>
      </c>
      <c r="L58" s="28" t="str">
        <f ca="1">IFERROR(__xludf.DUMMYFUNCTION("""COMPUTED_VALUE"""),"")</f>
        <v/>
      </c>
      <c r="M58" s="27" t="str">
        <f ca="1">IFERROR(__xludf.DUMMYFUNCTION("""COMPUTED_VALUE"""),"")</f>
        <v/>
      </c>
      <c r="N58" s="40" t="str">
        <f ca="1">IFERROR(__xludf.DUMMYFUNCTION("""COMPUTED_VALUE"""),"")</f>
        <v/>
      </c>
    </row>
    <row r="59" spans="2:14" ht="12.5">
      <c r="B59" s="32"/>
      <c r="C59" s="33" t="str">
        <f ca="1">IFERROR(__xludf.DUMMYFUNCTION("""COMPUTED_VALUE"""),"")</f>
        <v/>
      </c>
      <c r="D59" s="34" t="str">
        <f ca="1">IFERROR(__xludf.DUMMYFUNCTION("""COMPUTED_VALUE"""),"")</f>
        <v/>
      </c>
      <c r="E59" s="39" t="str">
        <f ca="1">IFERROR(__xludf.DUMMYFUNCTION("""COMPUTED_VALUE"""),"")</f>
        <v/>
      </c>
      <c r="F59" s="28" t="str">
        <f ca="1">IFERROR(__xludf.DUMMYFUNCTION("""COMPUTED_VALUE"""),"")</f>
        <v/>
      </c>
      <c r="G59" s="27" t="str">
        <f ca="1">IFERROR(__xludf.DUMMYFUNCTION("""COMPUTED_VALUE"""),"")</f>
        <v/>
      </c>
      <c r="H59" s="28" t="str">
        <f ca="1">IFERROR(__xludf.DUMMYFUNCTION("""COMPUTED_VALUE"""),"")</f>
        <v/>
      </c>
      <c r="I59" s="27" t="str">
        <f ca="1">IFERROR(__xludf.DUMMYFUNCTION("""COMPUTED_VALUE"""),"")</f>
        <v/>
      </c>
      <c r="J59" s="28" t="str">
        <f ca="1">IFERROR(__xludf.DUMMYFUNCTION("""COMPUTED_VALUE"""),"")</f>
        <v/>
      </c>
      <c r="K59" s="27" t="str">
        <f ca="1">IFERROR(__xludf.DUMMYFUNCTION("""COMPUTED_VALUE"""),"")</f>
        <v/>
      </c>
      <c r="L59" s="28" t="str">
        <f ca="1">IFERROR(__xludf.DUMMYFUNCTION("""COMPUTED_VALUE"""),"")</f>
        <v/>
      </c>
      <c r="M59" s="27" t="str">
        <f ca="1">IFERROR(__xludf.DUMMYFUNCTION("""COMPUTED_VALUE"""),"")</f>
        <v/>
      </c>
      <c r="N59" s="40" t="str">
        <f ca="1">IFERROR(__xludf.DUMMYFUNCTION("""COMPUTED_VALUE"""),"")</f>
        <v/>
      </c>
    </row>
    <row r="60" spans="2:14" ht="12.5">
      <c r="B60" s="32"/>
      <c r="C60" s="33" t="str">
        <f ca="1">IFERROR(__xludf.DUMMYFUNCTION("""COMPUTED_VALUE"""),"")</f>
        <v/>
      </c>
      <c r="D60" s="34" t="str">
        <f ca="1">IFERROR(__xludf.DUMMYFUNCTION("""COMPUTED_VALUE"""),"")</f>
        <v/>
      </c>
      <c r="E60" s="39" t="str">
        <f ca="1">IFERROR(__xludf.DUMMYFUNCTION("""COMPUTED_VALUE"""),"")</f>
        <v/>
      </c>
      <c r="F60" s="28" t="str">
        <f ca="1">IFERROR(__xludf.DUMMYFUNCTION("""COMPUTED_VALUE"""),"")</f>
        <v/>
      </c>
      <c r="G60" s="27" t="str">
        <f ca="1">IFERROR(__xludf.DUMMYFUNCTION("""COMPUTED_VALUE"""),"")</f>
        <v/>
      </c>
      <c r="H60" s="28" t="str">
        <f ca="1">IFERROR(__xludf.DUMMYFUNCTION("""COMPUTED_VALUE"""),"")</f>
        <v/>
      </c>
      <c r="I60" s="27" t="str">
        <f ca="1">IFERROR(__xludf.DUMMYFUNCTION("""COMPUTED_VALUE"""),"")</f>
        <v/>
      </c>
      <c r="J60" s="28" t="str">
        <f ca="1">IFERROR(__xludf.DUMMYFUNCTION("""COMPUTED_VALUE"""),"")</f>
        <v/>
      </c>
      <c r="K60" s="27" t="str">
        <f ca="1">IFERROR(__xludf.DUMMYFUNCTION("""COMPUTED_VALUE"""),"")</f>
        <v/>
      </c>
      <c r="L60" s="28" t="str">
        <f ca="1">IFERROR(__xludf.DUMMYFUNCTION("""COMPUTED_VALUE"""),"")</f>
        <v/>
      </c>
      <c r="M60" s="27" t="str">
        <f ca="1">IFERROR(__xludf.DUMMYFUNCTION("""COMPUTED_VALUE"""),"")</f>
        <v/>
      </c>
      <c r="N60" s="40" t="str">
        <f ca="1">IFERROR(__xludf.DUMMYFUNCTION("""COMPUTED_VALUE"""),"")</f>
        <v/>
      </c>
    </row>
    <row r="61" spans="2:14" ht="12.5">
      <c r="B61" s="32"/>
      <c r="C61" s="33" t="str">
        <f ca="1">IFERROR(__xludf.DUMMYFUNCTION("""COMPUTED_VALUE"""),"")</f>
        <v/>
      </c>
      <c r="D61" s="34" t="str">
        <f ca="1">IFERROR(__xludf.DUMMYFUNCTION("""COMPUTED_VALUE"""),"")</f>
        <v/>
      </c>
      <c r="E61" s="39" t="str">
        <f ca="1">IFERROR(__xludf.DUMMYFUNCTION("""COMPUTED_VALUE"""),"")</f>
        <v/>
      </c>
      <c r="F61" s="28" t="str">
        <f ca="1">IFERROR(__xludf.DUMMYFUNCTION("""COMPUTED_VALUE"""),"")</f>
        <v/>
      </c>
      <c r="G61" s="27" t="str">
        <f ca="1">IFERROR(__xludf.DUMMYFUNCTION("""COMPUTED_VALUE"""),"")</f>
        <v/>
      </c>
      <c r="H61" s="28" t="str">
        <f ca="1">IFERROR(__xludf.DUMMYFUNCTION("""COMPUTED_VALUE"""),"")</f>
        <v/>
      </c>
      <c r="I61" s="27" t="str">
        <f ca="1">IFERROR(__xludf.DUMMYFUNCTION("""COMPUTED_VALUE"""),"")</f>
        <v/>
      </c>
      <c r="J61" s="28" t="str">
        <f ca="1">IFERROR(__xludf.DUMMYFUNCTION("""COMPUTED_VALUE"""),"")</f>
        <v/>
      </c>
      <c r="K61" s="27" t="str">
        <f ca="1">IFERROR(__xludf.DUMMYFUNCTION("""COMPUTED_VALUE"""),"")</f>
        <v/>
      </c>
      <c r="L61" s="28" t="str">
        <f ca="1">IFERROR(__xludf.DUMMYFUNCTION("""COMPUTED_VALUE"""),"")</f>
        <v/>
      </c>
      <c r="M61" s="27" t="str">
        <f ca="1">IFERROR(__xludf.DUMMYFUNCTION("""COMPUTED_VALUE"""),"")</f>
        <v/>
      </c>
      <c r="N61" s="40" t="str">
        <f ca="1">IFERROR(__xludf.DUMMYFUNCTION("""COMPUTED_VALUE"""),"")</f>
        <v/>
      </c>
    </row>
    <row r="62" spans="2:14" ht="12.5">
      <c r="B62" s="32"/>
      <c r="C62" s="33" t="str">
        <f ca="1">IFERROR(__xludf.DUMMYFUNCTION("""COMPUTED_VALUE"""),"")</f>
        <v/>
      </c>
      <c r="D62" s="34" t="str">
        <f ca="1">IFERROR(__xludf.DUMMYFUNCTION("""COMPUTED_VALUE"""),"")</f>
        <v/>
      </c>
      <c r="E62" s="39" t="str">
        <f ca="1">IFERROR(__xludf.DUMMYFUNCTION("""COMPUTED_VALUE"""),"")</f>
        <v/>
      </c>
      <c r="F62" s="28" t="str">
        <f ca="1">IFERROR(__xludf.DUMMYFUNCTION("""COMPUTED_VALUE"""),"")</f>
        <v/>
      </c>
      <c r="G62" s="27" t="str">
        <f ca="1">IFERROR(__xludf.DUMMYFUNCTION("""COMPUTED_VALUE"""),"")</f>
        <v/>
      </c>
      <c r="H62" s="28" t="str">
        <f ca="1">IFERROR(__xludf.DUMMYFUNCTION("""COMPUTED_VALUE"""),"")</f>
        <v/>
      </c>
      <c r="I62" s="27" t="str">
        <f ca="1">IFERROR(__xludf.DUMMYFUNCTION("""COMPUTED_VALUE"""),"")</f>
        <v/>
      </c>
      <c r="J62" s="28" t="str">
        <f ca="1">IFERROR(__xludf.DUMMYFUNCTION("""COMPUTED_VALUE"""),"")</f>
        <v/>
      </c>
      <c r="K62" s="27" t="str">
        <f ca="1">IFERROR(__xludf.DUMMYFUNCTION("""COMPUTED_VALUE"""),"")</f>
        <v/>
      </c>
      <c r="L62" s="28" t="str">
        <f ca="1">IFERROR(__xludf.DUMMYFUNCTION("""COMPUTED_VALUE"""),"")</f>
        <v/>
      </c>
      <c r="M62" s="27" t="str">
        <f ca="1">IFERROR(__xludf.DUMMYFUNCTION("""COMPUTED_VALUE"""),"")</f>
        <v/>
      </c>
      <c r="N62" s="40" t="str">
        <f ca="1">IFERROR(__xludf.DUMMYFUNCTION("""COMPUTED_VALUE"""),"")</f>
        <v/>
      </c>
    </row>
    <row r="63" spans="2:14" ht="12.5">
      <c r="B63" s="32"/>
      <c r="C63" s="33" t="str">
        <f ca="1">IFERROR(__xludf.DUMMYFUNCTION("""COMPUTED_VALUE"""),"")</f>
        <v/>
      </c>
      <c r="D63" s="34" t="str">
        <f ca="1">IFERROR(__xludf.DUMMYFUNCTION("""COMPUTED_VALUE"""),"")</f>
        <v/>
      </c>
      <c r="E63" s="39" t="str">
        <f ca="1">IFERROR(__xludf.DUMMYFUNCTION("""COMPUTED_VALUE"""),"")</f>
        <v/>
      </c>
      <c r="F63" s="28" t="str">
        <f ca="1">IFERROR(__xludf.DUMMYFUNCTION("""COMPUTED_VALUE"""),"")</f>
        <v/>
      </c>
      <c r="G63" s="27" t="str">
        <f ca="1">IFERROR(__xludf.DUMMYFUNCTION("""COMPUTED_VALUE"""),"")</f>
        <v/>
      </c>
      <c r="H63" s="28" t="str">
        <f ca="1">IFERROR(__xludf.DUMMYFUNCTION("""COMPUTED_VALUE"""),"")</f>
        <v/>
      </c>
      <c r="I63" s="27" t="str">
        <f ca="1">IFERROR(__xludf.DUMMYFUNCTION("""COMPUTED_VALUE"""),"")</f>
        <v/>
      </c>
      <c r="J63" s="28" t="str">
        <f ca="1">IFERROR(__xludf.DUMMYFUNCTION("""COMPUTED_VALUE"""),"")</f>
        <v/>
      </c>
      <c r="K63" s="27" t="str">
        <f ca="1">IFERROR(__xludf.DUMMYFUNCTION("""COMPUTED_VALUE"""),"")</f>
        <v/>
      </c>
      <c r="L63" s="28" t="str">
        <f ca="1">IFERROR(__xludf.DUMMYFUNCTION("""COMPUTED_VALUE"""),"")</f>
        <v/>
      </c>
      <c r="M63" s="27" t="str">
        <f ca="1">IFERROR(__xludf.DUMMYFUNCTION("""COMPUTED_VALUE"""),"")</f>
        <v/>
      </c>
      <c r="N63" s="40" t="str">
        <f ca="1">IFERROR(__xludf.DUMMYFUNCTION("""COMPUTED_VALUE"""),"")</f>
        <v/>
      </c>
    </row>
    <row r="64" spans="2:14" ht="12.5">
      <c r="B64" s="32"/>
      <c r="C64" s="33" t="str">
        <f ca="1">IFERROR(__xludf.DUMMYFUNCTION("""COMPUTED_VALUE"""),"")</f>
        <v/>
      </c>
      <c r="D64" s="34" t="str">
        <f ca="1">IFERROR(__xludf.DUMMYFUNCTION("""COMPUTED_VALUE"""),"")</f>
        <v/>
      </c>
      <c r="E64" s="39" t="str">
        <f ca="1">IFERROR(__xludf.DUMMYFUNCTION("""COMPUTED_VALUE"""),"")</f>
        <v/>
      </c>
      <c r="F64" s="28" t="str">
        <f ca="1">IFERROR(__xludf.DUMMYFUNCTION("""COMPUTED_VALUE"""),"")</f>
        <v/>
      </c>
      <c r="G64" s="27" t="str">
        <f ca="1">IFERROR(__xludf.DUMMYFUNCTION("""COMPUTED_VALUE"""),"")</f>
        <v/>
      </c>
      <c r="H64" s="28" t="str">
        <f ca="1">IFERROR(__xludf.DUMMYFUNCTION("""COMPUTED_VALUE"""),"")</f>
        <v/>
      </c>
      <c r="I64" s="27" t="str">
        <f ca="1">IFERROR(__xludf.DUMMYFUNCTION("""COMPUTED_VALUE"""),"")</f>
        <v/>
      </c>
      <c r="J64" s="28" t="str">
        <f ca="1">IFERROR(__xludf.DUMMYFUNCTION("""COMPUTED_VALUE"""),"")</f>
        <v/>
      </c>
      <c r="K64" s="27" t="str">
        <f ca="1">IFERROR(__xludf.DUMMYFUNCTION("""COMPUTED_VALUE"""),"")</f>
        <v/>
      </c>
      <c r="L64" s="28" t="str">
        <f ca="1">IFERROR(__xludf.DUMMYFUNCTION("""COMPUTED_VALUE"""),"")</f>
        <v/>
      </c>
      <c r="M64" s="27" t="str">
        <f ca="1">IFERROR(__xludf.DUMMYFUNCTION("""COMPUTED_VALUE"""),"")</f>
        <v/>
      </c>
      <c r="N64" s="40" t="str">
        <f ca="1">IFERROR(__xludf.DUMMYFUNCTION("""COMPUTED_VALUE"""),"")</f>
        <v/>
      </c>
    </row>
    <row r="65" spans="2:14" ht="12.5">
      <c r="B65" s="32"/>
      <c r="C65" s="33" t="str">
        <f ca="1">IFERROR(__xludf.DUMMYFUNCTION("""COMPUTED_VALUE"""),"")</f>
        <v/>
      </c>
      <c r="D65" s="34" t="str">
        <f ca="1">IFERROR(__xludf.DUMMYFUNCTION("""COMPUTED_VALUE"""),"")</f>
        <v/>
      </c>
      <c r="E65" s="39" t="str">
        <f ca="1">IFERROR(__xludf.DUMMYFUNCTION("""COMPUTED_VALUE"""),"")</f>
        <v/>
      </c>
      <c r="F65" s="28" t="str">
        <f ca="1">IFERROR(__xludf.DUMMYFUNCTION("""COMPUTED_VALUE"""),"")</f>
        <v/>
      </c>
      <c r="G65" s="27" t="str">
        <f ca="1">IFERROR(__xludf.DUMMYFUNCTION("""COMPUTED_VALUE"""),"")</f>
        <v/>
      </c>
      <c r="H65" s="28" t="str">
        <f ca="1">IFERROR(__xludf.DUMMYFUNCTION("""COMPUTED_VALUE"""),"")</f>
        <v/>
      </c>
      <c r="I65" s="27" t="str">
        <f ca="1">IFERROR(__xludf.DUMMYFUNCTION("""COMPUTED_VALUE"""),"")</f>
        <v/>
      </c>
      <c r="J65" s="28" t="str">
        <f ca="1">IFERROR(__xludf.DUMMYFUNCTION("""COMPUTED_VALUE"""),"")</f>
        <v/>
      </c>
      <c r="K65" s="27" t="str">
        <f ca="1">IFERROR(__xludf.DUMMYFUNCTION("""COMPUTED_VALUE"""),"")</f>
        <v/>
      </c>
      <c r="L65" s="28" t="str">
        <f ca="1">IFERROR(__xludf.DUMMYFUNCTION("""COMPUTED_VALUE"""),"")</f>
        <v/>
      </c>
      <c r="M65" s="27" t="str">
        <f ca="1">IFERROR(__xludf.DUMMYFUNCTION("""COMPUTED_VALUE"""),"")</f>
        <v/>
      </c>
      <c r="N65" s="40" t="str">
        <f ca="1">IFERROR(__xludf.DUMMYFUNCTION("""COMPUTED_VALUE"""),"")</f>
        <v/>
      </c>
    </row>
    <row r="66" spans="2:14" ht="12.5">
      <c r="B66" s="32"/>
      <c r="C66" s="33" t="str">
        <f ca="1">IFERROR(__xludf.DUMMYFUNCTION("""COMPUTED_VALUE"""),"")</f>
        <v/>
      </c>
      <c r="D66" s="34" t="str">
        <f ca="1">IFERROR(__xludf.DUMMYFUNCTION("""COMPUTED_VALUE"""),"")</f>
        <v/>
      </c>
      <c r="E66" s="39" t="str">
        <f ca="1">IFERROR(__xludf.DUMMYFUNCTION("""COMPUTED_VALUE"""),"")</f>
        <v/>
      </c>
      <c r="F66" s="28" t="str">
        <f ca="1">IFERROR(__xludf.DUMMYFUNCTION("""COMPUTED_VALUE"""),"")</f>
        <v/>
      </c>
      <c r="G66" s="27" t="str">
        <f ca="1">IFERROR(__xludf.DUMMYFUNCTION("""COMPUTED_VALUE"""),"")</f>
        <v/>
      </c>
      <c r="H66" s="28" t="str">
        <f ca="1">IFERROR(__xludf.DUMMYFUNCTION("""COMPUTED_VALUE"""),"")</f>
        <v/>
      </c>
      <c r="I66" s="27" t="str">
        <f ca="1">IFERROR(__xludf.DUMMYFUNCTION("""COMPUTED_VALUE"""),"")</f>
        <v/>
      </c>
      <c r="J66" s="28" t="str">
        <f ca="1">IFERROR(__xludf.DUMMYFUNCTION("""COMPUTED_VALUE"""),"")</f>
        <v/>
      </c>
      <c r="K66" s="27" t="str">
        <f ca="1">IFERROR(__xludf.DUMMYFUNCTION("""COMPUTED_VALUE"""),"")</f>
        <v/>
      </c>
      <c r="L66" s="28" t="str">
        <f ca="1">IFERROR(__xludf.DUMMYFUNCTION("""COMPUTED_VALUE"""),"")</f>
        <v/>
      </c>
      <c r="M66" s="27" t="str">
        <f ca="1">IFERROR(__xludf.DUMMYFUNCTION("""COMPUTED_VALUE"""),"")</f>
        <v/>
      </c>
      <c r="N66" s="40" t="str">
        <f ca="1">IFERROR(__xludf.DUMMYFUNCTION("""COMPUTED_VALUE"""),"")</f>
        <v/>
      </c>
    </row>
    <row r="67" spans="2:14" ht="12.5">
      <c r="B67" s="32"/>
      <c r="C67" s="33" t="str">
        <f ca="1">IFERROR(__xludf.DUMMYFUNCTION("""COMPUTED_VALUE"""),"")</f>
        <v/>
      </c>
      <c r="D67" s="34" t="str">
        <f ca="1">IFERROR(__xludf.DUMMYFUNCTION("""COMPUTED_VALUE"""),"")</f>
        <v/>
      </c>
      <c r="E67" s="39" t="str">
        <f ca="1">IFERROR(__xludf.DUMMYFUNCTION("""COMPUTED_VALUE"""),"")</f>
        <v/>
      </c>
      <c r="F67" s="28" t="str">
        <f ca="1">IFERROR(__xludf.DUMMYFUNCTION("""COMPUTED_VALUE"""),"")</f>
        <v/>
      </c>
      <c r="G67" s="27" t="str">
        <f ca="1">IFERROR(__xludf.DUMMYFUNCTION("""COMPUTED_VALUE"""),"")</f>
        <v/>
      </c>
      <c r="H67" s="28" t="str">
        <f ca="1">IFERROR(__xludf.DUMMYFUNCTION("""COMPUTED_VALUE"""),"")</f>
        <v/>
      </c>
      <c r="I67" s="27" t="str">
        <f ca="1">IFERROR(__xludf.DUMMYFUNCTION("""COMPUTED_VALUE"""),"")</f>
        <v/>
      </c>
      <c r="J67" s="28" t="str">
        <f ca="1">IFERROR(__xludf.DUMMYFUNCTION("""COMPUTED_VALUE"""),"")</f>
        <v/>
      </c>
      <c r="K67" s="27" t="str">
        <f ca="1">IFERROR(__xludf.DUMMYFUNCTION("""COMPUTED_VALUE"""),"")</f>
        <v/>
      </c>
      <c r="L67" s="28" t="str">
        <f ca="1">IFERROR(__xludf.DUMMYFUNCTION("""COMPUTED_VALUE"""),"")</f>
        <v/>
      </c>
      <c r="M67" s="27" t="str">
        <f ca="1">IFERROR(__xludf.DUMMYFUNCTION("""COMPUTED_VALUE"""),"")</f>
        <v/>
      </c>
      <c r="N67" s="40" t="str">
        <f ca="1">IFERROR(__xludf.DUMMYFUNCTION("""COMPUTED_VALUE"""),"")</f>
        <v/>
      </c>
    </row>
    <row r="68" spans="2:14" ht="12.5">
      <c r="B68" s="32"/>
      <c r="C68" s="33" t="str">
        <f ca="1">IFERROR(__xludf.DUMMYFUNCTION("""COMPUTED_VALUE"""),"")</f>
        <v/>
      </c>
      <c r="D68" s="34" t="str">
        <f ca="1">IFERROR(__xludf.DUMMYFUNCTION("""COMPUTED_VALUE"""),"")</f>
        <v/>
      </c>
      <c r="E68" s="39" t="str">
        <f ca="1">IFERROR(__xludf.DUMMYFUNCTION("""COMPUTED_VALUE"""),"")</f>
        <v/>
      </c>
      <c r="F68" s="28" t="str">
        <f ca="1">IFERROR(__xludf.DUMMYFUNCTION("""COMPUTED_VALUE"""),"")</f>
        <v/>
      </c>
      <c r="G68" s="27" t="str">
        <f ca="1">IFERROR(__xludf.DUMMYFUNCTION("""COMPUTED_VALUE"""),"")</f>
        <v/>
      </c>
      <c r="H68" s="28" t="str">
        <f ca="1">IFERROR(__xludf.DUMMYFUNCTION("""COMPUTED_VALUE"""),"")</f>
        <v/>
      </c>
      <c r="I68" s="27" t="str">
        <f ca="1">IFERROR(__xludf.DUMMYFUNCTION("""COMPUTED_VALUE"""),"")</f>
        <v/>
      </c>
      <c r="J68" s="28" t="str">
        <f ca="1">IFERROR(__xludf.DUMMYFUNCTION("""COMPUTED_VALUE"""),"")</f>
        <v/>
      </c>
      <c r="K68" s="27" t="str">
        <f ca="1">IFERROR(__xludf.DUMMYFUNCTION("""COMPUTED_VALUE"""),"")</f>
        <v/>
      </c>
      <c r="L68" s="28" t="str">
        <f ca="1">IFERROR(__xludf.DUMMYFUNCTION("""COMPUTED_VALUE"""),"")</f>
        <v/>
      </c>
      <c r="M68" s="27" t="str">
        <f ca="1">IFERROR(__xludf.DUMMYFUNCTION("""COMPUTED_VALUE"""),"")</f>
        <v/>
      </c>
      <c r="N68" s="40" t="str">
        <f ca="1">IFERROR(__xludf.DUMMYFUNCTION("""COMPUTED_VALUE"""),"")</f>
        <v/>
      </c>
    </row>
    <row r="69" spans="2:14" ht="12.5">
      <c r="B69" s="32"/>
      <c r="C69" s="33" t="str">
        <f ca="1">IFERROR(__xludf.DUMMYFUNCTION("""COMPUTED_VALUE"""),"")</f>
        <v/>
      </c>
      <c r="D69" s="34" t="str">
        <f ca="1">IFERROR(__xludf.DUMMYFUNCTION("""COMPUTED_VALUE"""),"")</f>
        <v/>
      </c>
      <c r="E69" s="39" t="str">
        <f ca="1">IFERROR(__xludf.DUMMYFUNCTION("""COMPUTED_VALUE"""),"")</f>
        <v/>
      </c>
      <c r="F69" s="28" t="str">
        <f ca="1">IFERROR(__xludf.DUMMYFUNCTION("""COMPUTED_VALUE"""),"")</f>
        <v/>
      </c>
      <c r="G69" s="27" t="str">
        <f ca="1">IFERROR(__xludf.DUMMYFUNCTION("""COMPUTED_VALUE"""),"")</f>
        <v/>
      </c>
      <c r="H69" s="28" t="str">
        <f ca="1">IFERROR(__xludf.DUMMYFUNCTION("""COMPUTED_VALUE"""),"")</f>
        <v/>
      </c>
      <c r="I69" s="27" t="str">
        <f ca="1">IFERROR(__xludf.DUMMYFUNCTION("""COMPUTED_VALUE"""),"")</f>
        <v/>
      </c>
      <c r="J69" s="28" t="str">
        <f ca="1">IFERROR(__xludf.DUMMYFUNCTION("""COMPUTED_VALUE"""),"")</f>
        <v/>
      </c>
      <c r="K69" s="27" t="str">
        <f ca="1">IFERROR(__xludf.DUMMYFUNCTION("""COMPUTED_VALUE"""),"")</f>
        <v/>
      </c>
      <c r="L69" s="28" t="str">
        <f ca="1">IFERROR(__xludf.DUMMYFUNCTION("""COMPUTED_VALUE"""),"")</f>
        <v/>
      </c>
      <c r="M69" s="27" t="str">
        <f ca="1">IFERROR(__xludf.DUMMYFUNCTION("""COMPUTED_VALUE"""),"")</f>
        <v/>
      </c>
      <c r="N69" s="40" t="str">
        <f ca="1">IFERROR(__xludf.DUMMYFUNCTION("""COMPUTED_VALUE"""),"")</f>
        <v/>
      </c>
    </row>
    <row r="70" spans="2:14" ht="12.5">
      <c r="B70" s="32"/>
      <c r="C70" s="33" t="str">
        <f ca="1">IFERROR(__xludf.DUMMYFUNCTION("""COMPUTED_VALUE"""),"")</f>
        <v/>
      </c>
      <c r="D70" s="34" t="str">
        <f ca="1">IFERROR(__xludf.DUMMYFUNCTION("""COMPUTED_VALUE"""),"")</f>
        <v/>
      </c>
      <c r="E70" s="39" t="str">
        <f ca="1">IFERROR(__xludf.DUMMYFUNCTION("""COMPUTED_VALUE"""),"")</f>
        <v/>
      </c>
      <c r="F70" s="28" t="str">
        <f ca="1">IFERROR(__xludf.DUMMYFUNCTION("""COMPUTED_VALUE"""),"")</f>
        <v/>
      </c>
      <c r="G70" s="27" t="str">
        <f ca="1">IFERROR(__xludf.DUMMYFUNCTION("""COMPUTED_VALUE"""),"")</f>
        <v/>
      </c>
      <c r="H70" s="28" t="str">
        <f ca="1">IFERROR(__xludf.DUMMYFUNCTION("""COMPUTED_VALUE"""),"")</f>
        <v/>
      </c>
      <c r="I70" s="27" t="str">
        <f ca="1">IFERROR(__xludf.DUMMYFUNCTION("""COMPUTED_VALUE"""),"")</f>
        <v/>
      </c>
      <c r="J70" s="28" t="str">
        <f ca="1">IFERROR(__xludf.DUMMYFUNCTION("""COMPUTED_VALUE"""),"")</f>
        <v/>
      </c>
      <c r="K70" s="27" t="str">
        <f ca="1">IFERROR(__xludf.DUMMYFUNCTION("""COMPUTED_VALUE"""),"")</f>
        <v/>
      </c>
      <c r="L70" s="28" t="str">
        <f ca="1">IFERROR(__xludf.DUMMYFUNCTION("""COMPUTED_VALUE"""),"")</f>
        <v/>
      </c>
      <c r="M70" s="27" t="str">
        <f ca="1">IFERROR(__xludf.DUMMYFUNCTION("""COMPUTED_VALUE"""),"")</f>
        <v/>
      </c>
      <c r="N70" s="40" t="str">
        <f ca="1">IFERROR(__xludf.DUMMYFUNCTION("""COMPUTED_VALUE"""),"")</f>
        <v/>
      </c>
    </row>
    <row r="71" spans="2:14" ht="12.5">
      <c r="B71" s="32"/>
      <c r="C71" s="33" t="str">
        <f ca="1">IFERROR(__xludf.DUMMYFUNCTION("""COMPUTED_VALUE"""),"")</f>
        <v/>
      </c>
      <c r="D71" s="34" t="str">
        <f ca="1">IFERROR(__xludf.DUMMYFUNCTION("""COMPUTED_VALUE"""),"")</f>
        <v/>
      </c>
      <c r="E71" s="39" t="str">
        <f ca="1">IFERROR(__xludf.DUMMYFUNCTION("""COMPUTED_VALUE"""),"")</f>
        <v/>
      </c>
      <c r="F71" s="28" t="str">
        <f ca="1">IFERROR(__xludf.DUMMYFUNCTION("""COMPUTED_VALUE"""),"")</f>
        <v/>
      </c>
      <c r="G71" s="27" t="str">
        <f ca="1">IFERROR(__xludf.DUMMYFUNCTION("""COMPUTED_VALUE"""),"")</f>
        <v/>
      </c>
      <c r="H71" s="28" t="str">
        <f ca="1">IFERROR(__xludf.DUMMYFUNCTION("""COMPUTED_VALUE"""),"")</f>
        <v/>
      </c>
      <c r="I71" s="27" t="str">
        <f ca="1">IFERROR(__xludf.DUMMYFUNCTION("""COMPUTED_VALUE"""),"")</f>
        <v/>
      </c>
      <c r="J71" s="28" t="str">
        <f ca="1">IFERROR(__xludf.DUMMYFUNCTION("""COMPUTED_VALUE"""),"")</f>
        <v/>
      </c>
      <c r="K71" s="27" t="str">
        <f ca="1">IFERROR(__xludf.DUMMYFUNCTION("""COMPUTED_VALUE"""),"")</f>
        <v/>
      </c>
      <c r="L71" s="28" t="str">
        <f ca="1">IFERROR(__xludf.DUMMYFUNCTION("""COMPUTED_VALUE"""),"")</f>
        <v/>
      </c>
      <c r="M71" s="27" t="str">
        <f ca="1">IFERROR(__xludf.DUMMYFUNCTION("""COMPUTED_VALUE"""),"")</f>
        <v/>
      </c>
      <c r="N71" s="40" t="str">
        <f ca="1">IFERROR(__xludf.DUMMYFUNCTION("""COMPUTED_VALUE"""),"")</f>
        <v/>
      </c>
    </row>
    <row r="72" spans="2:14" ht="12.5">
      <c r="B72" s="32"/>
      <c r="C72" s="33" t="str">
        <f ca="1">IFERROR(__xludf.DUMMYFUNCTION("""COMPUTED_VALUE"""),"")</f>
        <v/>
      </c>
      <c r="D72" s="34" t="str">
        <f ca="1">IFERROR(__xludf.DUMMYFUNCTION("""COMPUTED_VALUE"""),"")</f>
        <v/>
      </c>
      <c r="E72" s="39" t="str">
        <f ca="1">IFERROR(__xludf.DUMMYFUNCTION("""COMPUTED_VALUE"""),"")</f>
        <v/>
      </c>
      <c r="F72" s="28" t="str">
        <f ca="1">IFERROR(__xludf.DUMMYFUNCTION("""COMPUTED_VALUE"""),"")</f>
        <v/>
      </c>
      <c r="G72" s="27" t="str">
        <f ca="1">IFERROR(__xludf.DUMMYFUNCTION("""COMPUTED_VALUE"""),"")</f>
        <v/>
      </c>
      <c r="H72" s="28" t="str">
        <f ca="1">IFERROR(__xludf.DUMMYFUNCTION("""COMPUTED_VALUE"""),"")</f>
        <v/>
      </c>
      <c r="I72" s="27" t="str">
        <f ca="1">IFERROR(__xludf.DUMMYFUNCTION("""COMPUTED_VALUE"""),"")</f>
        <v/>
      </c>
      <c r="J72" s="28" t="str">
        <f ca="1">IFERROR(__xludf.DUMMYFUNCTION("""COMPUTED_VALUE"""),"")</f>
        <v/>
      </c>
      <c r="K72" s="27" t="str">
        <f ca="1">IFERROR(__xludf.DUMMYFUNCTION("""COMPUTED_VALUE"""),"")</f>
        <v/>
      </c>
      <c r="L72" s="28" t="str">
        <f ca="1">IFERROR(__xludf.DUMMYFUNCTION("""COMPUTED_VALUE"""),"")</f>
        <v/>
      </c>
      <c r="M72" s="27" t="str">
        <f ca="1">IFERROR(__xludf.DUMMYFUNCTION("""COMPUTED_VALUE"""),"")</f>
        <v/>
      </c>
      <c r="N72" s="40" t="str">
        <f ca="1">IFERROR(__xludf.DUMMYFUNCTION("""COMPUTED_VALUE"""),"")</f>
        <v/>
      </c>
    </row>
    <row r="73" spans="2:14" ht="12.5">
      <c r="B73" s="32"/>
      <c r="C73" s="33" t="str">
        <f ca="1">IFERROR(__xludf.DUMMYFUNCTION("""COMPUTED_VALUE"""),"")</f>
        <v/>
      </c>
      <c r="D73" s="34" t="str">
        <f ca="1">IFERROR(__xludf.DUMMYFUNCTION("""COMPUTED_VALUE"""),"")</f>
        <v/>
      </c>
      <c r="E73" s="39" t="str">
        <f ca="1">IFERROR(__xludf.DUMMYFUNCTION("""COMPUTED_VALUE"""),"")</f>
        <v/>
      </c>
      <c r="F73" s="28" t="str">
        <f ca="1">IFERROR(__xludf.DUMMYFUNCTION("""COMPUTED_VALUE"""),"")</f>
        <v/>
      </c>
      <c r="G73" s="27" t="str">
        <f ca="1">IFERROR(__xludf.DUMMYFUNCTION("""COMPUTED_VALUE"""),"")</f>
        <v/>
      </c>
      <c r="H73" s="28" t="str">
        <f ca="1">IFERROR(__xludf.DUMMYFUNCTION("""COMPUTED_VALUE"""),"")</f>
        <v/>
      </c>
      <c r="I73" s="27" t="str">
        <f ca="1">IFERROR(__xludf.DUMMYFUNCTION("""COMPUTED_VALUE"""),"")</f>
        <v/>
      </c>
      <c r="J73" s="28" t="str">
        <f ca="1">IFERROR(__xludf.DUMMYFUNCTION("""COMPUTED_VALUE"""),"")</f>
        <v/>
      </c>
      <c r="K73" s="27" t="str">
        <f ca="1">IFERROR(__xludf.DUMMYFUNCTION("""COMPUTED_VALUE"""),"")</f>
        <v/>
      </c>
      <c r="L73" s="28" t="str">
        <f ca="1">IFERROR(__xludf.DUMMYFUNCTION("""COMPUTED_VALUE"""),"")</f>
        <v/>
      </c>
      <c r="M73" s="27" t="str">
        <f ca="1">IFERROR(__xludf.DUMMYFUNCTION("""COMPUTED_VALUE"""),"")</f>
        <v/>
      </c>
      <c r="N73" s="40" t="str">
        <f ca="1">IFERROR(__xludf.DUMMYFUNCTION("""COMPUTED_VALUE"""),"")</f>
        <v/>
      </c>
    </row>
    <row r="74" spans="2:14" ht="12.5">
      <c r="B74" s="32"/>
      <c r="C74" s="33" t="str">
        <f ca="1">IFERROR(__xludf.DUMMYFUNCTION("""COMPUTED_VALUE"""),"")</f>
        <v/>
      </c>
      <c r="D74" s="34" t="str">
        <f ca="1">IFERROR(__xludf.DUMMYFUNCTION("""COMPUTED_VALUE"""),"")</f>
        <v/>
      </c>
      <c r="E74" s="39" t="str">
        <f ca="1">IFERROR(__xludf.DUMMYFUNCTION("""COMPUTED_VALUE"""),"")</f>
        <v/>
      </c>
      <c r="F74" s="28" t="str">
        <f ca="1">IFERROR(__xludf.DUMMYFUNCTION("""COMPUTED_VALUE"""),"")</f>
        <v/>
      </c>
      <c r="G74" s="27" t="str">
        <f ca="1">IFERROR(__xludf.DUMMYFUNCTION("""COMPUTED_VALUE"""),"")</f>
        <v/>
      </c>
      <c r="H74" s="28" t="str">
        <f ca="1">IFERROR(__xludf.DUMMYFUNCTION("""COMPUTED_VALUE"""),"")</f>
        <v/>
      </c>
      <c r="I74" s="27" t="str">
        <f ca="1">IFERROR(__xludf.DUMMYFUNCTION("""COMPUTED_VALUE"""),"")</f>
        <v/>
      </c>
      <c r="J74" s="28" t="str">
        <f ca="1">IFERROR(__xludf.DUMMYFUNCTION("""COMPUTED_VALUE"""),"")</f>
        <v/>
      </c>
      <c r="K74" s="27" t="str">
        <f ca="1">IFERROR(__xludf.DUMMYFUNCTION("""COMPUTED_VALUE"""),"")</f>
        <v/>
      </c>
      <c r="L74" s="28" t="str">
        <f ca="1">IFERROR(__xludf.DUMMYFUNCTION("""COMPUTED_VALUE"""),"")</f>
        <v/>
      </c>
      <c r="M74" s="27" t="str">
        <f ca="1">IFERROR(__xludf.DUMMYFUNCTION("""COMPUTED_VALUE"""),"")</f>
        <v/>
      </c>
      <c r="N74" s="40" t="str">
        <f ca="1">IFERROR(__xludf.DUMMYFUNCTION("""COMPUTED_VALUE"""),"")</f>
        <v/>
      </c>
    </row>
    <row r="75" spans="2:14" ht="12.5">
      <c r="B75" s="32"/>
      <c r="C75" s="33" t="str">
        <f ca="1">IFERROR(__xludf.DUMMYFUNCTION("""COMPUTED_VALUE"""),"")</f>
        <v/>
      </c>
      <c r="D75" s="34" t="str">
        <f ca="1">IFERROR(__xludf.DUMMYFUNCTION("""COMPUTED_VALUE"""),"")</f>
        <v/>
      </c>
      <c r="E75" s="39" t="str">
        <f ca="1">IFERROR(__xludf.DUMMYFUNCTION("""COMPUTED_VALUE"""),"")</f>
        <v/>
      </c>
      <c r="F75" s="28" t="str">
        <f ca="1">IFERROR(__xludf.DUMMYFUNCTION("""COMPUTED_VALUE"""),"")</f>
        <v/>
      </c>
      <c r="G75" s="27" t="str">
        <f ca="1">IFERROR(__xludf.DUMMYFUNCTION("""COMPUTED_VALUE"""),"")</f>
        <v/>
      </c>
      <c r="H75" s="28" t="str">
        <f ca="1">IFERROR(__xludf.DUMMYFUNCTION("""COMPUTED_VALUE"""),"")</f>
        <v/>
      </c>
      <c r="I75" s="27" t="str">
        <f ca="1">IFERROR(__xludf.DUMMYFUNCTION("""COMPUTED_VALUE"""),"")</f>
        <v/>
      </c>
      <c r="J75" s="28" t="str">
        <f ca="1">IFERROR(__xludf.DUMMYFUNCTION("""COMPUTED_VALUE"""),"")</f>
        <v/>
      </c>
      <c r="K75" s="27" t="str">
        <f ca="1">IFERROR(__xludf.DUMMYFUNCTION("""COMPUTED_VALUE"""),"")</f>
        <v/>
      </c>
      <c r="L75" s="28" t="str">
        <f ca="1">IFERROR(__xludf.DUMMYFUNCTION("""COMPUTED_VALUE"""),"")</f>
        <v/>
      </c>
      <c r="M75" s="27" t="str">
        <f ca="1">IFERROR(__xludf.DUMMYFUNCTION("""COMPUTED_VALUE"""),"")</f>
        <v/>
      </c>
      <c r="N75" s="40" t="str">
        <f ca="1">IFERROR(__xludf.DUMMYFUNCTION("""COMPUTED_VALUE"""),"")</f>
        <v/>
      </c>
    </row>
    <row r="76" spans="2:14" ht="12.5">
      <c r="B76" s="32"/>
      <c r="C76" s="33" t="str">
        <f ca="1">IFERROR(__xludf.DUMMYFUNCTION("""COMPUTED_VALUE"""),"")</f>
        <v/>
      </c>
      <c r="D76" s="34" t="str">
        <f ca="1">IFERROR(__xludf.DUMMYFUNCTION("""COMPUTED_VALUE"""),"")</f>
        <v/>
      </c>
      <c r="E76" s="39" t="str">
        <f ca="1">IFERROR(__xludf.DUMMYFUNCTION("""COMPUTED_VALUE"""),"")</f>
        <v/>
      </c>
      <c r="F76" s="28" t="str">
        <f ca="1">IFERROR(__xludf.DUMMYFUNCTION("""COMPUTED_VALUE"""),"")</f>
        <v/>
      </c>
      <c r="G76" s="27" t="str">
        <f ca="1">IFERROR(__xludf.DUMMYFUNCTION("""COMPUTED_VALUE"""),"")</f>
        <v/>
      </c>
      <c r="H76" s="28" t="str">
        <f ca="1">IFERROR(__xludf.DUMMYFUNCTION("""COMPUTED_VALUE"""),"")</f>
        <v/>
      </c>
      <c r="I76" s="27" t="str">
        <f ca="1">IFERROR(__xludf.DUMMYFUNCTION("""COMPUTED_VALUE"""),"")</f>
        <v/>
      </c>
      <c r="J76" s="28" t="str">
        <f ca="1">IFERROR(__xludf.DUMMYFUNCTION("""COMPUTED_VALUE"""),"")</f>
        <v/>
      </c>
      <c r="K76" s="27" t="str">
        <f ca="1">IFERROR(__xludf.DUMMYFUNCTION("""COMPUTED_VALUE"""),"")</f>
        <v/>
      </c>
      <c r="L76" s="28" t="str">
        <f ca="1">IFERROR(__xludf.DUMMYFUNCTION("""COMPUTED_VALUE"""),"")</f>
        <v/>
      </c>
      <c r="M76" s="27" t="str">
        <f ca="1">IFERROR(__xludf.DUMMYFUNCTION("""COMPUTED_VALUE"""),"")</f>
        <v/>
      </c>
      <c r="N76" s="40" t="str">
        <f ca="1">IFERROR(__xludf.DUMMYFUNCTION("""COMPUTED_VALUE"""),"")</f>
        <v/>
      </c>
    </row>
    <row r="77" spans="2:14" ht="12.5">
      <c r="B77" s="32"/>
      <c r="C77" s="33" t="str">
        <f ca="1">IFERROR(__xludf.DUMMYFUNCTION("""COMPUTED_VALUE"""),"")</f>
        <v/>
      </c>
      <c r="D77" s="34" t="str">
        <f ca="1">IFERROR(__xludf.DUMMYFUNCTION("""COMPUTED_VALUE"""),"")</f>
        <v/>
      </c>
      <c r="E77" s="39" t="str">
        <f ca="1">IFERROR(__xludf.DUMMYFUNCTION("""COMPUTED_VALUE"""),"")</f>
        <v/>
      </c>
      <c r="F77" s="28" t="str">
        <f ca="1">IFERROR(__xludf.DUMMYFUNCTION("""COMPUTED_VALUE"""),"")</f>
        <v/>
      </c>
      <c r="G77" s="27" t="str">
        <f ca="1">IFERROR(__xludf.DUMMYFUNCTION("""COMPUTED_VALUE"""),"")</f>
        <v/>
      </c>
      <c r="H77" s="28" t="str">
        <f ca="1">IFERROR(__xludf.DUMMYFUNCTION("""COMPUTED_VALUE"""),"")</f>
        <v/>
      </c>
      <c r="I77" s="27" t="str">
        <f ca="1">IFERROR(__xludf.DUMMYFUNCTION("""COMPUTED_VALUE"""),"")</f>
        <v/>
      </c>
      <c r="J77" s="28" t="str">
        <f ca="1">IFERROR(__xludf.DUMMYFUNCTION("""COMPUTED_VALUE"""),"")</f>
        <v/>
      </c>
      <c r="K77" s="27" t="str">
        <f ca="1">IFERROR(__xludf.DUMMYFUNCTION("""COMPUTED_VALUE"""),"")</f>
        <v/>
      </c>
      <c r="L77" s="28" t="str">
        <f ca="1">IFERROR(__xludf.DUMMYFUNCTION("""COMPUTED_VALUE"""),"")</f>
        <v/>
      </c>
      <c r="M77" s="27" t="str">
        <f ca="1">IFERROR(__xludf.DUMMYFUNCTION("""COMPUTED_VALUE"""),"")</f>
        <v/>
      </c>
      <c r="N77" s="40" t="str">
        <f ca="1">IFERROR(__xludf.DUMMYFUNCTION("""COMPUTED_VALUE"""),"")</f>
        <v/>
      </c>
    </row>
    <row r="78" spans="2:14" ht="12.5">
      <c r="B78" s="32"/>
      <c r="C78" s="33" t="str">
        <f ca="1">IFERROR(__xludf.DUMMYFUNCTION("""COMPUTED_VALUE"""),"")</f>
        <v/>
      </c>
      <c r="D78" s="34" t="str">
        <f ca="1">IFERROR(__xludf.DUMMYFUNCTION("""COMPUTED_VALUE"""),"")</f>
        <v/>
      </c>
      <c r="E78" s="39" t="str">
        <f ca="1">IFERROR(__xludf.DUMMYFUNCTION("""COMPUTED_VALUE"""),"")</f>
        <v/>
      </c>
      <c r="F78" s="28" t="str">
        <f ca="1">IFERROR(__xludf.DUMMYFUNCTION("""COMPUTED_VALUE"""),"")</f>
        <v/>
      </c>
      <c r="G78" s="27" t="str">
        <f ca="1">IFERROR(__xludf.DUMMYFUNCTION("""COMPUTED_VALUE"""),"")</f>
        <v/>
      </c>
      <c r="H78" s="28" t="str">
        <f ca="1">IFERROR(__xludf.DUMMYFUNCTION("""COMPUTED_VALUE"""),"")</f>
        <v/>
      </c>
      <c r="I78" s="27" t="str">
        <f ca="1">IFERROR(__xludf.DUMMYFUNCTION("""COMPUTED_VALUE"""),"")</f>
        <v/>
      </c>
      <c r="J78" s="28" t="str">
        <f ca="1">IFERROR(__xludf.DUMMYFUNCTION("""COMPUTED_VALUE"""),"")</f>
        <v/>
      </c>
      <c r="K78" s="27" t="str">
        <f ca="1">IFERROR(__xludf.DUMMYFUNCTION("""COMPUTED_VALUE"""),"")</f>
        <v/>
      </c>
      <c r="L78" s="28" t="str">
        <f ca="1">IFERROR(__xludf.DUMMYFUNCTION("""COMPUTED_VALUE"""),"")</f>
        <v/>
      </c>
      <c r="M78" s="27" t="str">
        <f ca="1">IFERROR(__xludf.DUMMYFUNCTION("""COMPUTED_VALUE"""),"")</f>
        <v/>
      </c>
      <c r="N78" s="40" t="str">
        <f ca="1">IFERROR(__xludf.DUMMYFUNCTION("""COMPUTED_VALUE"""),"")</f>
        <v/>
      </c>
    </row>
    <row r="79" spans="2:14" ht="12.5">
      <c r="B79" s="32"/>
      <c r="C79" s="33" t="str">
        <f ca="1">IFERROR(__xludf.DUMMYFUNCTION("""COMPUTED_VALUE"""),"")</f>
        <v/>
      </c>
      <c r="D79" s="34" t="str">
        <f ca="1">IFERROR(__xludf.DUMMYFUNCTION("""COMPUTED_VALUE"""),"")</f>
        <v/>
      </c>
      <c r="E79" s="39" t="str">
        <f ca="1">IFERROR(__xludf.DUMMYFUNCTION("""COMPUTED_VALUE"""),"")</f>
        <v/>
      </c>
      <c r="F79" s="28" t="str">
        <f ca="1">IFERROR(__xludf.DUMMYFUNCTION("""COMPUTED_VALUE"""),"")</f>
        <v/>
      </c>
      <c r="G79" s="27" t="str">
        <f ca="1">IFERROR(__xludf.DUMMYFUNCTION("""COMPUTED_VALUE"""),"")</f>
        <v/>
      </c>
      <c r="H79" s="28" t="str">
        <f ca="1">IFERROR(__xludf.DUMMYFUNCTION("""COMPUTED_VALUE"""),"")</f>
        <v/>
      </c>
      <c r="I79" s="27" t="str">
        <f ca="1">IFERROR(__xludf.DUMMYFUNCTION("""COMPUTED_VALUE"""),"")</f>
        <v/>
      </c>
      <c r="J79" s="28" t="str">
        <f ca="1">IFERROR(__xludf.DUMMYFUNCTION("""COMPUTED_VALUE"""),"")</f>
        <v/>
      </c>
      <c r="K79" s="27" t="str">
        <f ca="1">IFERROR(__xludf.DUMMYFUNCTION("""COMPUTED_VALUE"""),"")</f>
        <v/>
      </c>
      <c r="L79" s="28" t="str">
        <f ca="1">IFERROR(__xludf.DUMMYFUNCTION("""COMPUTED_VALUE"""),"")</f>
        <v/>
      </c>
      <c r="M79" s="27" t="str">
        <f ca="1">IFERROR(__xludf.DUMMYFUNCTION("""COMPUTED_VALUE"""),"")</f>
        <v/>
      </c>
      <c r="N79" s="40" t="str">
        <f ca="1">IFERROR(__xludf.DUMMYFUNCTION("""COMPUTED_VALUE"""),"")</f>
        <v/>
      </c>
    </row>
    <row r="80" spans="2:14" ht="12.5">
      <c r="B80" s="32"/>
      <c r="C80" s="33" t="str">
        <f ca="1">IFERROR(__xludf.DUMMYFUNCTION("""COMPUTED_VALUE"""),"")</f>
        <v/>
      </c>
      <c r="D80" s="41" t="str">
        <f ca="1">IFERROR(__xludf.DUMMYFUNCTION("""COMPUTED_VALUE"""),"")</f>
        <v/>
      </c>
      <c r="E80" s="39" t="str">
        <f ca="1">IFERROR(__xludf.DUMMYFUNCTION("""COMPUTED_VALUE"""),"")</f>
        <v/>
      </c>
      <c r="F80" s="28" t="str">
        <f ca="1">IFERROR(__xludf.DUMMYFUNCTION("""COMPUTED_VALUE"""),"")</f>
        <v/>
      </c>
      <c r="G80" s="27" t="str">
        <f ca="1">IFERROR(__xludf.DUMMYFUNCTION("""COMPUTED_VALUE"""),"")</f>
        <v/>
      </c>
      <c r="H80" s="28" t="str">
        <f ca="1">IFERROR(__xludf.DUMMYFUNCTION("""COMPUTED_VALUE"""),"")</f>
        <v/>
      </c>
      <c r="I80" s="27" t="str">
        <f ca="1">IFERROR(__xludf.DUMMYFUNCTION("""COMPUTED_VALUE"""),"")</f>
        <v/>
      </c>
      <c r="J80" s="27" t="str">
        <f ca="1">IFERROR(__xludf.DUMMYFUNCTION("""COMPUTED_VALUE"""),"")</f>
        <v/>
      </c>
      <c r="K80" s="27" t="str">
        <f ca="1">IFERROR(__xludf.DUMMYFUNCTION("""COMPUTED_VALUE"""),"")</f>
        <v/>
      </c>
      <c r="L80" s="27" t="str">
        <f ca="1">IFERROR(__xludf.DUMMYFUNCTION("""COMPUTED_VALUE"""),"")</f>
        <v/>
      </c>
      <c r="M80" s="27" t="str">
        <f ca="1">IFERROR(__xludf.DUMMYFUNCTION("""COMPUTED_VALUE"""),"")</f>
        <v/>
      </c>
      <c r="N80" s="42" t="str">
        <f ca="1">IFERROR(__xludf.DUMMYFUNCTION("""COMPUTED_VALUE"""),"")</f>
        <v/>
      </c>
    </row>
    <row r="81" spans="2:14" ht="12.5">
      <c r="B81" s="32"/>
      <c r="C81" s="33" t="str">
        <f ca="1">IFERROR(__xludf.DUMMYFUNCTION("""COMPUTED_VALUE"""),"")</f>
        <v/>
      </c>
      <c r="D81" s="41" t="str">
        <f ca="1">IFERROR(__xludf.DUMMYFUNCTION("""COMPUTED_VALUE"""),"")</f>
        <v/>
      </c>
      <c r="E81" s="39" t="str">
        <f ca="1">IFERROR(__xludf.DUMMYFUNCTION("""COMPUTED_VALUE"""),"")</f>
        <v/>
      </c>
      <c r="F81" s="28" t="str">
        <f ca="1">IFERROR(__xludf.DUMMYFUNCTION("""COMPUTED_VALUE"""),"")</f>
        <v/>
      </c>
      <c r="G81" s="27" t="str">
        <f ca="1">IFERROR(__xludf.DUMMYFUNCTION("""COMPUTED_VALUE"""),"")</f>
        <v/>
      </c>
      <c r="H81" s="28" t="str">
        <f ca="1">IFERROR(__xludf.DUMMYFUNCTION("""COMPUTED_VALUE"""),"")</f>
        <v/>
      </c>
      <c r="I81" s="27" t="str">
        <f ca="1">IFERROR(__xludf.DUMMYFUNCTION("""COMPUTED_VALUE"""),"")</f>
        <v/>
      </c>
      <c r="J81" s="27" t="str">
        <f ca="1">IFERROR(__xludf.DUMMYFUNCTION("""COMPUTED_VALUE"""),"")</f>
        <v/>
      </c>
      <c r="K81" s="27" t="str">
        <f ca="1">IFERROR(__xludf.DUMMYFUNCTION("""COMPUTED_VALUE"""),"")</f>
        <v/>
      </c>
      <c r="L81" s="27" t="str">
        <f ca="1">IFERROR(__xludf.DUMMYFUNCTION("""COMPUTED_VALUE"""),"")</f>
        <v/>
      </c>
      <c r="M81" s="27" t="str">
        <f ca="1">IFERROR(__xludf.DUMMYFUNCTION("""COMPUTED_VALUE"""),"")</f>
        <v/>
      </c>
      <c r="N81" s="42" t="str">
        <f ca="1">IFERROR(__xludf.DUMMYFUNCTION("""COMPUTED_VALUE"""),"")</f>
        <v/>
      </c>
    </row>
    <row r="82" spans="2:14" ht="12.5">
      <c r="B82" s="32"/>
      <c r="C82" s="33" t="str">
        <f ca="1">IFERROR(__xludf.DUMMYFUNCTION("""COMPUTED_VALUE"""),"")</f>
        <v/>
      </c>
      <c r="D82" s="41" t="str">
        <f ca="1">IFERROR(__xludf.DUMMYFUNCTION("""COMPUTED_VALUE"""),"")</f>
        <v/>
      </c>
      <c r="E82" s="39" t="str">
        <f ca="1">IFERROR(__xludf.DUMMYFUNCTION("""COMPUTED_VALUE"""),"")</f>
        <v/>
      </c>
      <c r="F82" s="28" t="str">
        <f ca="1">IFERROR(__xludf.DUMMYFUNCTION("""COMPUTED_VALUE"""),"")</f>
        <v/>
      </c>
      <c r="G82" s="27" t="str">
        <f ca="1">IFERROR(__xludf.DUMMYFUNCTION("""COMPUTED_VALUE"""),"")</f>
        <v/>
      </c>
      <c r="H82" s="28" t="str">
        <f ca="1">IFERROR(__xludf.DUMMYFUNCTION("""COMPUTED_VALUE"""),"")</f>
        <v/>
      </c>
      <c r="I82" s="27" t="str">
        <f ca="1">IFERROR(__xludf.DUMMYFUNCTION("""COMPUTED_VALUE"""),"")</f>
        <v/>
      </c>
      <c r="J82" s="27" t="str">
        <f ca="1">IFERROR(__xludf.DUMMYFUNCTION("""COMPUTED_VALUE"""),"")</f>
        <v/>
      </c>
      <c r="K82" s="27" t="str">
        <f ca="1">IFERROR(__xludf.DUMMYFUNCTION("""COMPUTED_VALUE"""),"")</f>
        <v/>
      </c>
      <c r="L82" s="27" t="str">
        <f ca="1">IFERROR(__xludf.DUMMYFUNCTION("""COMPUTED_VALUE"""),"")</f>
        <v/>
      </c>
      <c r="M82" s="27" t="str">
        <f ca="1">IFERROR(__xludf.DUMMYFUNCTION("""COMPUTED_VALUE"""),"")</f>
        <v/>
      </c>
      <c r="N82" s="42" t="str">
        <f ca="1">IFERROR(__xludf.DUMMYFUNCTION("""COMPUTED_VALUE"""),"")</f>
        <v/>
      </c>
    </row>
    <row r="83" spans="2:14" ht="12.5">
      <c r="B83" s="32"/>
      <c r="C83" s="33" t="str">
        <f ca="1">IFERROR(__xludf.DUMMYFUNCTION("""COMPUTED_VALUE"""),"")</f>
        <v/>
      </c>
      <c r="D83" s="41" t="str">
        <f ca="1">IFERROR(__xludf.DUMMYFUNCTION("""COMPUTED_VALUE"""),"")</f>
        <v/>
      </c>
      <c r="E83" s="39" t="str">
        <f ca="1">IFERROR(__xludf.DUMMYFUNCTION("""COMPUTED_VALUE"""),"")</f>
        <v/>
      </c>
      <c r="F83" s="28" t="str">
        <f ca="1">IFERROR(__xludf.DUMMYFUNCTION("""COMPUTED_VALUE"""),"")</f>
        <v/>
      </c>
      <c r="G83" s="27" t="str">
        <f ca="1">IFERROR(__xludf.DUMMYFUNCTION("""COMPUTED_VALUE"""),"")</f>
        <v/>
      </c>
      <c r="H83" s="28" t="str">
        <f ca="1">IFERROR(__xludf.DUMMYFUNCTION("""COMPUTED_VALUE"""),"")</f>
        <v/>
      </c>
      <c r="I83" s="27" t="str">
        <f ca="1">IFERROR(__xludf.DUMMYFUNCTION("""COMPUTED_VALUE"""),"")</f>
        <v/>
      </c>
      <c r="J83" s="27" t="str">
        <f ca="1">IFERROR(__xludf.DUMMYFUNCTION("""COMPUTED_VALUE"""),"")</f>
        <v/>
      </c>
      <c r="K83" s="27" t="str">
        <f ca="1">IFERROR(__xludf.DUMMYFUNCTION("""COMPUTED_VALUE"""),"")</f>
        <v/>
      </c>
      <c r="L83" s="27" t="str">
        <f ca="1">IFERROR(__xludf.DUMMYFUNCTION("""COMPUTED_VALUE"""),"")</f>
        <v/>
      </c>
      <c r="M83" s="27" t="str">
        <f ca="1">IFERROR(__xludf.DUMMYFUNCTION("""COMPUTED_VALUE"""),"")</f>
        <v/>
      </c>
      <c r="N83" s="42" t="str">
        <f ca="1">IFERROR(__xludf.DUMMYFUNCTION("""COMPUTED_VALUE"""),"")</f>
        <v/>
      </c>
    </row>
    <row r="84" spans="2:14" ht="12.5">
      <c r="B84" s="32"/>
      <c r="C84" s="33" t="str">
        <f ca="1">IFERROR(__xludf.DUMMYFUNCTION("""COMPUTED_VALUE"""),"")</f>
        <v/>
      </c>
      <c r="D84" s="41" t="str">
        <f ca="1">IFERROR(__xludf.DUMMYFUNCTION("""COMPUTED_VALUE"""),"")</f>
        <v/>
      </c>
      <c r="E84" s="39" t="str">
        <f ca="1">IFERROR(__xludf.DUMMYFUNCTION("""COMPUTED_VALUE"""),"")</f>
        <v/>
      </c>
      <c r="F84" s="28" t="str">
        <f ca="1">IFERROR(__xludf.DUMMYFUNCTION("""COMPUTED_VALUE"""),"")</f>
        <v/>
      </c>
      <c r="G84" s="27" t="str">
        <f ca="1">IFERROR(__xludf.DUMMYFUNCTION("""COMPUTED_VALUE"""),"")</f>
        <v/>
      </c>
      <c r="H84" s="28" t="str">
        <f ca="1">IFERROR(__xludf.DUMMYFUNCTION("""COMPUTED_VALUE"""),"")</f>
        <v/>
      </c>
      <c r="I84" s="27" t="str">
        <f ca="1">IFERROR(__xludf.DUMMYFUNCTION("""COMPUTED_VALUE"""),"")</f>
        <v/>
      </c>
      <c r="J84" s="27" t="str">
        <f ca="1">IFERROR(__xludf.DUMMYFUNCTION("""COMPUTED_VALUE"""),"")</f>
        <v/>
      </c>
      <c r="K84" s="27" t="str">
        <f ca="1">IFERROR(__xludf.DUMMYFUNCTION("""COMPUTED_VALUE"""),"")</f>
        <v/>
      </c>
      <c r="L84" s="27" t="str">
        <f ca="1">IFERROR(__xludf.DUMMYFUNCTION("""COMPUTED_VALUE"""),"")</f>
        <v/>
      </c>
      <c r="M84" s="27" t="str">
        <f ca="1">IFERROR(__xludf.DUMMYFUNCTION("""COMPUTED_VALUE"""),"")</f>
        <v/>
      </c>
      <c r="N84" s="42" t="str">
        <f ca="1">IFERROR(__xludf.DUMMYFUNCTION("""COMPUTED_VALUE"""),"")</f>
        <v/>
      </c>
    </row>
    <row r="85" spans="2:14" ht="12.5">
      <c r="B85" s="32"/>
      <c r="C85" s="33" t="str">
        <f ca="1">IFERROR(__xludf.DUMMYFUNCTION("""COMPUTED_VALUE"""),"")</f>
        <v/>
      </c>
      <c r="D85" s="41" t="str">
        <f ca="1">IFERROR(__xludf.DUMMYFUNCTION("""COMPUTED_VALUE"""),"")</f>
        <v/>
      </c>
      <c r="E85" s="39" t="str">
        <f ca="1">IFERROR(__xludf.DUMMYFUNCTION("""COMPUTED_VALUE"""),"")</f>
        <v/>
      </c>
      <c r="F85" s="28" t="str">
        <f ca="1">IFERROR(__xludf.DUMMYFUNCTION("""COMPUTED_VALUE"""),"")</f>
        <v/>
      </c>
      <c r="G85" s="27" t="str">
        <f ca="1">IFERROR(__xludf.DUMMYFUNCTION("""COMPUTED_VALUE"""),"")</f>
        <v/>
      </c>
      <c r="H85" s="28" t="str">
        <f ca="1">IFERROR(__xludf.DUMMYFUNCTION("""COMPUTED_VALUE"""),"")</f>
        <v/>
      </c>
      <c r="I85" s="27" t="str">
        <f ca="1">IFERROR(__xludf.DUMMYFUNCTION("""COMPUTED_VALUE"""),"")</f>
        <v/>
      </c>
      <c r="J85" s="27" t="str">
        <f ca="1">IFERROR(__xludf.DUMMYFUNCTION("""COMPUTED_VALUE"""),"")</f>
        <v/>
      </c>
      <c r="K85" s="27" t="str">
        <f ca="1">IFERROR(__xludf.DUMMYFUNCTION("""COMPUTED_VALUE"""),"")</f>
        <v/>
      </c>
      <c r="L85" s="27" t="str">
        <f ca="1">IFERROR(__xludf.DUMMYFUNCTION("""COMPUTED_VALUE"""),"")</f>
        <v/>
      </c>
      <c r="M85" s="27" t="str">
        <f ca="1">IFERROR(__xludf.DUMMYFUNCTION("""COMPUTED_VALUE"""),"")</f>
        <v/>
      </c>
      <c r="N85" s="42" t="str">
        <f ca="1">IFERROR(__xludf.DUMMYFUNCTION("""COMPUTED_VALUE"""),"")</f>
        <v/>
      </c>
    </row>
    <row r="86" spans="2:14" ht="12.5">
      <c r="B86" s="32"/>
      <c r="C86" s="33" t="str">
        <f ca="1">IFERROR(__xludf.DUMMYFUNCTION("""COMPUTED_VALUE"""),"")</f>
        <v/>
      </c>
      <c r="D86" s="41" t="str">
        <f ca="1">IFERROR(__xludf.DUMMYFUNCTION("""COMPUTED_VALUE"""),"")</f>
        <v/>
      </c>
      <c r="E86" s="39" t="str">
        <f ca="1">IFERROR(__xludf.DUMMYFUNCTION("""COMPUTED_VALUE"""),"")</f>
        <v/>
      </c>
      <c r="F86" s="28" t="str">
        <f ca="1">IFERROR(__xludf.DUMMYFUNCTION("""COMPUTED_VALUE"""),"")</f>
        <v/>
      </c>
      <c r="G86" s="27" t="str">
        <f ca="1">IFERROR(__xludf.DUMMYFUNCTION("""COMPUTED_VALUE"""),"")</f>
        <v/>
      </c>
      <c r="H86" s="28" t="str">
        <f ca="1">IFERROR(__xludf.DUMMYFUNCTION("""COMPUTED_VALUE"""),"")</f>
        <v/>
      </c>
      <c r="I86" s="27" t="str">
        <f ca="1">IFERROR(__xludf.DUMMYFUNCTION("""COMPUTED_VALUE"""),"")</f>
        <v/>
      </c>
      <c r="J86" s="27" t="str">
        <f ca="1">IFERROR(__xludf.DUMMYFUNCTION("""COMPUTED_VALUE"""),"")</f>
        <v/>
      </c>
      <c r="K86" s="27" t="str">
        <f ca="1">IFERROR(__xludf.DUMMYFUNCTION("""COMPUTED_VALUE"""),"")</f>
        <v/>
      </c>
      <c r="L86" s="27" t="str">
        <f ca="1">IFERROR(__xludf.DUMMYFUNCTION("""COMPUTED_VALUE"""),"")</f>
        <v/>
      </c>
      <c r="M86" s="27" t="str">
        <f ca="1">IFERROR(__xludf.DUMMYFUNCTION("""COMPUTED_VALUE"""),"")</f>
        <v/>
      </c>
      <c r="N86" s="42" t="str">
        <f ca="1">IFERROR(__xludf.DUMMYFUNCTION("""COMPUTED_VALUE"""),"")</f>
        <v/>
      </c>
    </row>
    <row r="87" spans="2:14" ht="12.5">
      <c r="B87" s="32"/>
      <c r="C87" s="33" t="str">
        <f ca="1">IFERROR(__xludf.DUMMYFUNCTION("""COMPUTED_VALUE"""),"")</f>
        <v/>
      </c>
      <c r="D87" s="41" t="str">
        <f ca="1">IFERROR(__xludf.DUMMYFUNCTION("""COMPUTED_VALUE"""),"")</f>
        <v/>
      </c>
      <c r="E87" s="39" t="str">
        <f ca="1">IFERROR(__xludf.DUMMYFUNCTION("""COMPUTED_VALUE"""),"")</f>
        <v/>
      </c>
      <c r="F87" s="28" t="str">
        <f ca="1">IFERROR(__xludf.DUMMYFUNCTION("""COMPUTED_VALUE"""),"")</f>
        <v/>
      </c>
      <c r="G87" s="27" t="str">
        <f ca="1">IFERROR(__xludf.DUMMYFUNCTION("""COMPUTED_VALUE"""),"")</f>
        <v/>
      </c>
      <c r="H87" s="28" t="str">
        <f ca="1">IFERROR(__xludf.DUMMYFUNCTION("""COMPUTED_VALUE"""),"")</f>
        <v/>
      </c>
      <c r="I87" s="27" t="str">
        <f ca="1">IFERROR(__xludf.DUMMYFUNCTION("""COMPUTED_VALUE"""),"")</f>
        <v/>
      </c>
      <c r="J87" s="27" t="str">
        <f ca="1">IFERROR(__xludf.DUMMYFUNCTION("""COMPUTED_VALUE"""),"")</f>
        <v/>
      </c>
      <c r="K87" s="27" t="str">
        <f ca="1">IFERROR(__xludf.DUMMYFUNCTION("""COMPUTED_VALUE"""),"")</f>
        <v/>
      </c>
      <c r="L87" s="27" t="str">
        <f ca="1">IFERROR(__xludf.DUMMYFUNCTION("""COMPUTED_VALUE"""),"")</f>
        <v/>
      </c>
      <c r="M87" s="27" t="str">
        <f ca="1">IFERROR(__xludf.DUMMYFUNCTION("""COMPUTED_VALUE"""),"")</f>
        <v/>
      </c>
      <c r="N87" s="42" t="str">
        <f ca="1">IFERROR(__xludf.DUMMYFUNCTION("""COMPUTED_VALUE"""),"")</f>
        <v/>
      </c>
    </row>
    <row r="88" spans="2:14" ht="12.5">
      <c r="B88" s="32"/>
      <c r="C88" s="33" t="str">
        <f ca="1">IFERROR(__xludf.DUMMYFUNCTION("""COMPUTED_VALUE"""),"")</f>
        <v/>
      </c>
      <c r="D88" s="41" t="str">
        <f ca="1">IFERROR(__xludf.DUMMYFUNCTION("""COMPUTED_VALUE"""),"")</f>
        <v/>
      </c>
      <c r="E88" s="39" t="str">
        <f ca="1">IFERROR(__xludf.DUMMYFUNCTION("""COMPUTED_VALUE"""),"")</f>
        <v/>
      </c>
      <c r="F88" s="28" t="str">
        <f ca="1">IFERROR(__xludf.DUMMYFUNCTION("""COMPUTED_VALUE"""),"")</f>
        <v/>
      </c>
      <c r="G88" s="27" t="str">
        <f ca="1">IFERROR(__xludf.DUMMYFUNCTION("""COMPUTED_VALUE"""),"")</f>
        <v/>
      </c>
      <c r="H88" s="28" t="str">
        <f ca="1">IFERROR(__xludf.DUMMYFUNCTION("""COMPUTED_VALUE"""),"")</f>
        <v/>
      </c>
      <c r="I88" s="27" t="str">
        <f ca="1">IFERROR(__xludf.DUMMYFUNCTION("""COMPUTED_VALUE"""),"")</f>
        <v/>
      </c>
      <c r="J88" s="27" t="str">
        <f ca="1">IFERROR(__xludf.DUMMYFUNCTION("""COMPUTED_VALUE"""),"")</f>
        <v/>
      </c>
      <c r="K88" s="27" t="str">
        <f ca="1">IFERROR(__xludf.DUMMYFUNCTION("""COMPUTED_VALUE"""),"")</f>
        <v/>
      </c>
      <c r="L88" s="27" t="str">
        <f ca="1">IFERROR(__xludf.DUMMYFUNCTION("""COMPUTED_VALUE"""),"")</f>
        <v/>
      </c>
      <c r="M88" s="27" t="str">
        <f ca="1">IFERROR(__xludf.DUMMYFUNCTION("""COMPUTED_VALUE"""),"")</f>
        <v/>
      </c>
      <c r="N88" s="42" t="str">
        <f ca="1">IFERROR(__xludf.DUMMYFUNCTION("""COMPUTED_VALUE"""),"")</f>
        <v/>
      </c>
    </row>
    <row r="89" spans="2:14" ht="12.5">
      <c r="B89" s="32"/>
      <c r="C89" s="33" t="str">
        <f ca="1">IFERROR(__xludf.DUMMYFUNCTION("""COMPUTED_VALUE"""),"")</f>
        <v/>
      </c>
      <c r="D89" s="41" t="str">
        <f ca="1">IFERROR(__xludf.DUMMYFUNCTION("""COMPUTED_VALUE"""),"")</f>
        <v/>
      </c>
      <c r="E89" s="39" t="str">
        <f ca="1">IFERROR(__xludf.DUMMYFUNCTION("""COMPUTED_VALUE"""),"")</f>
        <v/>
      </c>
      <c r="F89" s="28" t="str">
        <f ca="1">IFERROR(__xludf.DUMMYFUNCTION("""COMPUTED_VALUE"""),"")</f>
        <v/>
      </c>
      <c r="G89" s="27" t="str">
        <f ca="1">IFERROR(__xludf.DUMMYFUNCTION("""COMPUTED_VALUE"""),"")</f>
        <v/>
      </c>
      <c r="H89" s="28" t="str">
        <f ca="1">IFERROR(__xludf.DUMMYFUNCTION("""COMPUTED_VALUE"""),"")</f>
        <v/>
      </c>
      <c r="I89" s="27" t="str">
        <f ca="1">IFERROR(__xludf.DUMMYFUNCTION("""COMPUTED_VALUE"""),"")</f>
        <v/>
      </c>
      <c r="J89" s="27" t="str">
        <f ca="1">IFERROR(__xludf.DUMMYFUNCTION("""COMPUTED_VALUE"""),"")</f>
        <v/>
      </c>
      <c r="K89" s="27" t="str">
        <f ca="1">IFERROR(__xludf.DUMMYFUNCTION("""COMPUTED_VALUE"""),"")</f>
        <v/>
      </c>
      <c r="L89" s="27" t="str">
        <f ca="1">IFERROR(__xludf.DUMMYFUNCTION("""COMPUTED_VALUE"""),"")</f>
        <v/>
      </c>
      <c r="M89" s="27" t="str">
        <f ca="1">IFERROR(__xludf.DUMMYFUNCTION("""COMPUTED_VALUE"""),"")</f>
        <v/>
      </c>
      <c r="N89" s="42" t="str">
        <f ca="1">IFERROR(__xludf.DUMMYFUNCTION("""COMPUTED_VALUE"""),"")</f>
        <v/>
      </c>
    </row>
    <row r="90" spans="2:14" ht="12.5">
      <c r="B90" s="32"/>
      <c r="C90" s="33" t="str">
        <f ca="1">IFERROR(__xludf.DUMMYFUNCTION("""COMPUTED_VALUE"""),"")</f>
        <v/>
      </c>
      <c r="D90" s="41" t="str">
        <f ca="1">IFERROR(__xludf.DUMMYFUNCTION("""COMPUTED_VALUE"""),"")</f>
        <v/>
      </c>
      <c r="E90" s="39" t="str">
        <f ca="1">IFERROR(__xludf.DUMMYFUNCTION("""COMPUTED_VALUE"""),"")</f>
        <v/>
      </c>
      <c r="F90" s="28" t="str">
        <f ca="1">IFERROR(__xludf.DUMMYFUNCTION("""COMPUTED_VALUE"""),"")</f>
        <v/>
      </c>
      <c r="G90" s="27" t="str">
        <f ca="1">IFERROR(__xludf.DUMMYFUNCTION("""COMPUTED_VALUE"""),"")</f>
        <v/>
      </c>
      <c r="H90" s="28" t="str">
        <f ca="1">IFERROR(__xludf.DUMMYFUNCTION("""COMPUTED_VALUE"""),"")</f>
        <v/>
      </c>
      <c r="I90" s="27" t="str">
        <f ca="1">IFERROR(__xludf.DUMMYFUNCTION("""COMPUTED_VALUE"""),"")</f>
        <v/>
      </c>
      <c r="J90" s="27" t="str">
        <f ca="1">IFERROR(__xludf.DUMMYFUNCTION("""COMPUTED_VALUE"""),"")</f>
        <v/>
      </c>
      <c r="K90" s="27" t="str">
        <f ca="1">IFERROR(__xludf.DUMMYFUNCTION("""COMPUTED_VALUE"""),"")</f>
        <v/>
      </c>
      <c r="L90" s="27" t="str">
        <f ca="1">IFERROR(__xludf.DUMMYFUNCTION("""COMPUTED_VALUE"""),"")</f>
        <v/>
      </c>
      <c r="M90" s="27" t="str">
        <f ca="1">IFERROR(__xludf.DUMMYFUNCTION("""COMPUTED_VALUE"""),"")</f>
        <v/>
      </c>
      <c r="N90" s="42" t="str">
        <f ca="1">IFERROR(__xludf.DUMMYFUNCTION("""COMPUTED_VALUE"""),"")</f>
        <v/>
      </c>
    </row>
    <row r="91" spans="2:14" ht="12.5">
      <c r="B91" s="32"/>
      <c r="C91" s="33" t="str">
        <f ca="1">IFERROR(__xludf.DUMMYFUNCTION("""COMPUTED_VALUE"""),"")</f>
        <v/>
      </c>
      <c r="D91" s="41" t="str">
        <f ca="1">IFERROR(__xludf.DUMMYFUNCTION("""COMPUTED_VALUE"""),"")</f>
        <v/>
      </c>
      <c r="E91" s="39" t="str">
        <f ca="1">IFERROR(__xludf.DUMMYFUNCTION("""COMPUTED_VALUE"""),"")</f>
        <v/>
      </c>
      <c r="F91" s="28" t="str">
        <f ca="1">IFERROR(__xludf.DUMMYFUNCTION("""COMPUTED_VALUE"""),"")</f>
        <v/>
      </c>
      <c r="G91" s="27" t="str">
        <f ca="1">IFERROR(__xludf.DUMMYFUNCTION("""COMPUTED_VALUE"""),"")</f>
        <v/>
      </c>
      <c r="H91" s="28" t="str">
        <f ca="1">IFERROR(__xludf.DUMMYFUNCTION("""COMPUTED_VALUE"""),"")</f>
        <v/>
      </c>
      <c r="I91" s="27" t="str">
        <f ca="1">IFERROR(__xludf.DUMMYFUNCTION("""COMPUTED_VALUE"""),"")</f>
        <v/>
      </c>
      <c r="J91" s="27" t="str">
        <f ca="1">IFERROR(__xludf.DUMMYFUNCTION("""COMPUTED_VALUE"""),"")</f>
        <v/>
      </c>
      <c r="K91" s="27" t="str">
        <f ca="1">IFERROR(__xludf.DUMMYFUNCTION("""COMPUTED_VALUE"""),"")</f>
        <v/>
      </c>
      <c r="L91" s="27" t="str">
        <f ca="1">IFERROR(__xludf.DUMMYFUNCTION("""COMPUTED_VALUE"""),"")</f>
        <v/>
      </c>
      <c r="M91" s="27" t="str">
        <f ca="1">IFERROR(__xludf.DUMMYFUNCTION("""COMPUTED_VALUE"""),"")</f>
        <v/>
      </c>
      <c r="N91" s="42" t="str">
        <f ca="1">IFERROR(__xludf.DUMMYFUNCTION("""COMPUTED_VALUE"""),"")</f>
        <v/>
      </c>
    </row>
    <row r="92" spans="2:14" ht="12.5">
      <c r="B92" s="32"/>
      <c r="C92" s="33" t="str">
        <f ca="1">IFERROR(__xludf.DUMMYFUNCTION("""COMPUTED_VALUE"""),"")</f>
        <v/>
      </c>
      <c r="D92" s="41" t="str">
        <f ca="1">IFERROR(__xludf.DUMMYFUNCTION("""COMPUTED_VALUE"""),"")</f>
        <v/>
      </c>
      <c r="E92" s="39" t="str">
        <f ca="1">IFERROR(__xludf.DUMMYFUNCTION("""COMPUTED_VALUE"""),"")</f>
        <v/>
      </c>
      <c r="F92" s="28" t="str">
        <f ca="1">IFERROR(__xludf.DUMMYFUNCTION("""COMPUTED_VALUE"""),"")</f>
        <v/>
      </c>
      <c r="G92" s="27" t="str">
        <f ca="1">IFERROR(__xludf.DUMMYFUNCTION("""COMPUTED_VALUE"""),"")</f>
        <v/>
      </c>
      <c r="H92" s="28" t="str">
        <f ca="1">IFERROR(__xludf.DUMMYFUNCTION("""COMPUTED_VALUE"""),"")</f>
        <v/>
      </c>
      <c r="I92" s="27" t="str">
        <f ca="1">IFERROR(__xludf.DUMMYFUNCTION("""COMPUTED_VALUE"""),"")</f>
        <v/>
      </c>
      <c r="J92" s="27" t="str">
        <f ca="1">IFERROR(__xludf.DUMMYFUNCTION("""COMPUTED_VALUE"""),"")</f>
        <v/>
      </c>
      <c r="K92" s="27" t="str">
        <f ca="1">IFERROR(__xludf.DUMMYFUNCTION("""COMPUTED_VALUE"""),"")</f>
        <v/>
      </c>
      <c r="L92" s="27" t="str">
        <f ca="1">IFERROR(__xludf.DUMMYFUNCTION("""COMPUTED_VALUE"""),"")</f>
        <v/>
      </c>
      <c r="M92" s="27" t="str">
        <f ca="1">IFERROR(__xludf.DUMMYFUNCTION("""COMPUTED_VALUE"""),"")</f>
        <v/>
      </c>
      <c r="N92" s="42" t="str">
        <f ca="1">IFERROR(__xludf.DUMMYFUNCTION("""COMPUTED_VALUE"""),"")</f>
        <v/>
      </c>
    </row>
    <row r="93" spans="2:14" ht="12.5">
      <c r="B93" s="32"/>
      <c r="C93" s="33" t="str">
        <f ca="1">IFERROR(__xludf.DUMMYFUNCTION("""COMPUTED_VALUE"""),"")</f>
        <v/>
      </c>
      <c r="D93" s="41" t="str">
        <f ca="1">IFERROR(__xludf.DUMMYFUNCTION("""COMPUTED_VALUE"""),"")</f>
        <v/>
      </c>
      <c r="E93" s="39" t="str">
        <f ca="1">IFERROR(__xludf.DUMMYFUNCTION("""COMPUTED_VALUE"""),"")</f>
        <v/>
      </c>
      <c r="F93" s="28" t="str">
        <f ca="1">IFERROR(__xludf.DUMMYFUNCTION("""COMPUTED_VALUE"""),"")</f>
        <v/>
      </c>
      <c r="G93" s="27" t="str">
        <f ca="1">IFERROR(__xludf.DUMMYFUNCTION("""COMPUTED_VALUE"""),"")</f>
        <v/>
      </c>
      <c r="H93" s="28" t="str">
        <f ca="1">IFERROR(__xludf.DUMMYFUNCTION("""COMPUTED_VALUE"""),"")</f>
        <v/>
      </c>
      <c r="I93" s="27" t="str">
        <f ca="1">IFERROR(__xludf.DUMMYFUNCTION("""COMPUTED_VALUE"""),"")</f>
        <v/>
      </c>
      <c r="J93" s="27" t="str">
        <f ca="1">IFERROR(__xludf.DUMMYFUNCTION("""COMPUTED_VALUE"""),"")</f>
        <v/>
      </c>
      <c r="K93" s="27" t="str">
        <f ca="1">IFERROR(__xludf.DUMMYFUNCTION("""COMPUTED_VALUE"""),"")</f>
        <v/>
      </c>
      <c r="L93" s="27" t="str">
        <f ca="1">IFERROR(__xludf.DUMMYFUNCTION("""COMPUTED_VALUE"""),"")</f>
        <v/>
      </c>
      <c r="M93" s="27" t="str">
        <f ca="1">IFERROR(__xludf.DUMMYFUNCTION("""COMPUTED_VALUE"""),"")</f>
        <v/>
      </c>
      <c r="N93" s="42" t="str">
        <f ca="1">IFERROR(__xludf.DUMMYFUNCTION("""COMPUTED_VALUE"""),"")</f>
        <v/>
      </c>
    </row>
    <row r="94" spans="2:14" ht="12.5">
      <c r="B94" s="32"/>
      <c r="C94" s="33" t="str">
        <f ca="1">IFERROR(__xludf.DUMMYFUNCTION("""COMPUTED_VALUE"""),"")</f>
        <v/>
      </c>
      <c r="D94" s="41" t="str">
        <f ca="1">IFERROR(__xludf.DUMMYFUNCTION("""COMPUTED_VALUE"""),"")</f>
        <v/>
      </c>
      <c r="E94" s="39" t="str">
        <f ca="1">IFERROR(__xludf.DUMMYFUNCTION("""COMPUTED_VALUE"""),"")</f>
        <v/>
      </c>
      <c r="F94" s="28" t="str">
        <f ca="1">IFERROR(__xludf.DUMMYFUNCTION("""COMPUTED_VALUE"""),"")</f>
        <v/>
      </c>
      <c r="G94" s="27" t="str">
        <f ca="1">IFERROR(__xludf.DUMMYFUNCTION("""COMPUTED_VALUE"""),"")</f>
        <v/>
      </c>
      <c r="H94" s="28" t="str">
        <f ca="1">IFERROR(__xludf.DUMMYFUNCTION("""COMPUTED_VALUE"""),"")</f>
        <v/>
      </c>
      <c r="I94" s="27" t="str">
        <f ca="1">IFERROR(__xludf.DUMMYFUNCTION("""COMPUTED_VALUE"""),"")</f>
        <v/>
      </c>
      <c r="J94" s="27" t="str">
        <f ca="1">IFERROR(__xludf.DUMMYFUNCTION("""COMPUTED_VALUE"""),"")</f>
        <v/>
      </c>
      <c r="K94" s="27" t="str">
        <f ca="1">IFERROR(__xludf.DUMMYFUNCTION("""COMPUTED_VALUE"""),"")</f>
        <v/>
      </c>
      <c r="L94" s="27" t="str">
        <f ca="1">IFERROR(__xludf.DUMMYFUNCTION("""COMPUTED_VALUE"""),"")</f>
        <v/>
      </c>
      <c r="M94" s="27" t="str">
        <f ca="1">IFERROR(__xludf.DUMMYFUNCTION("""COMPUTED_VALUE"""),"")</f>
        <v/>
      </c>
      <c r="N94" s="42" t="str">
        <f ca="1">IFERROR(__xludf.DUMMYFUNCTION("""COMPUTED_VALUE"""),"")</f>
        <v/>
      </c>
    </row>
    <row r="95" spans="2:14" ht="12.5">
      <c r="B95" s="32"/>
      <c r="C95" s="33" t="str">
        <f ca="1">IFERROR(__xludf.DUMMYFUNCTION("""COMPUTED_VALUE"""),"")</f>
        <v/>
      </c>
      <c r="D95" s="41" t="str">
        <f ca="1">IFERROR(__xludf.DUMMYFUNCTION("""COMPUTED_VALUE"""),"")</f>
        <v/>
      </c>
      <c r="E95" s="39" t="str">
        <f ca="1">IFERROR(__xludf.DUMMYFUNCTION("""COMPUTED_VALUE"""),"")</f>
        <v/>
      </c>
      <c r="F95" s="28" t="str">
        <f ca="1">IFERROR(__xludf.DUMMYFUNCTION("""COMPUTED_VALUE"""),"")</f>
        <v/>
      </c>
      <c r="G95" s="27" t="str">
        <f ca="1">IFERROR(__xludf.DUMMYFUNCTION("""COMPUTED_VALUE"""),"")</f>
        <v/>
      </c>
      <c r="H95" s="28" t="str">
        <f ca="1">IFERROR(__xludf.DUMMYFUNCTION("""COMPUTED_VALUE"""),"")</f>
        <v/>
      </c>
      <c r="I95" s="27" t="str">
        <f ca="1">IFERROR(__xludf.DUMMYFUNCTION("""COMPUTED_VALUE"""),"")</f>
        <v/>
      </c>
      <c r="J95" s="27" t="str">
        <f ca="1">IFERROR(__xludf.DUMMYFUNCTION("""COMPUTED_VALUE"""),"")</f>
        <v/>
      </c>
      <c r="K95" s="27" t="str">
        <f ca="1">IFERROR(__xludf.DUMMYFUNCTION("""COMPUTED_VALUE"""),"")</f>
        <v/>
      </c>
      <c r="L95" s="27" t="str">
        <f ca="1">IFERROR(__xludf.DUMMYFUNCTION("""COMPUTED_VALUE"""),"")</f>
        <v/>
      </c>
      <c r="M95" s="27" t="str">
        <f ca="1">IFERROR(__xludf.DUMMYFUNCTION("""COMPUTED_VALUE"""),"")</f>
        <v/>
      </c>
      <c r="N95" s="42" t="str">
        <f ca="1">IFERROR(__xludf.DUMMYFUNCTION("""COMPUTED_VALUE"""),"")</f>
        <v/>
      </c>
    </row>
    <row r="96" spans="2:14" ht="12.5">
      <c r="B96" s="32"/>
      <c r="C96" s="33" t="str">
        <f ca="1">IFERROR(__xludf.DUMMYFUNCTION("""COMPUTED_VALUE"""),"")</f>
        <v/>
      </c>
      <c r="D96" s="41" t="str">
        <f ca="1">IFERROR(__xludf.DUMMYFUNCTION("""COMPUTED_VALUE"""),"")</f>
        <v/>
      </c>
      <c r="E96" s="39" t="str">
        <f ca="1">IFERROR(__xludf.DUMMYFUNCTION("""COMPUTED_VALUE"""),"")</f>
        <v/>
      </c>
      <c r="F96" s="28" t="str">
        <f ca="1">IFERROR(__xludf.DUMMYFUNCTION("""COMPUTED_VALUE"""),"")</f>
        <v/>
      </c>
      <c r="G96" s="27" t="str">
        <f ca="1">IFERROR(__xludf.DUMMYFUNCTION("""COMPUTED_VALUE"""),"")</f>
        <v/>
      </c>
      <c r="H96" s="28" t="str">
        <f ca="1">IFERROR(__xludf.DUMMYFUNCTION("""COMPUTED_VALUE"""),"")</f>
        <v/>
      </c>
      <c r="I96" s="27" t="str">
        <f ca="1">IFERROR(__xludf.DUMMYFUNCTION("""COMPUTED_VALUE"""),"")</f>
        <v/>
      </c>
      <c r="J96" s="27" t="str">
        <f ca="1">IFERROR(__xludf.DUMMYFUNCTION("""COMPUTED_VALUE"""),"")</f>
        <v/>
      </c>
      <c r="K96" s="27" t="str">
        <f ca="1">IFERROR(__xludf.DUMMYFUNCTION("""COMPUTED_VALUE"""),"")</f>
        <v/>
      </c>
      <c r="L96" s="27" t="str">
        <f ca="1">IFERROR(__xludf.DUMMYFUNCTION("""COMPUTED_VALUE"""),"")</f>
        <v/>
      </c>
      <c r="M96" s="27" t="str">
        <f ca="1">IFERROR(__xludf.DUMMYFUNCTION("""COMPUTED_VALUE"""),"")</f>
        <v/>
      </c>
      <c r="N96" s="42" t="str">
        <f ca="1">IFERROR(__xludf.DUMMYFUNCTION("""COMPUTED_VALUE"""),"")</f>
        <v/>
      </c>
    </row>
    <row r="97" spans="2:14" ht="12.5">
      <c r="B97" s="32"/>
      <c r="C97" s="33" t="str">
        <f ca="1">IFERROR(__xludf.DUMMYFUNCTION("""COMPUTED_VALUE"""),"")</f>
        <v/>
      </c>
      <c r="D97" s="41" t="str">
        <f ca="1">IFERROR(__xludf.DUMMYFUNCTION("""COMPUTED_VALUE"""),"")</f>
        <v/>
      </c>
      <c r="E97" s="39" t="str">
        <f ca="1">IFERROR(__xludf.DUMMYFUNCTION("""COMPUTED_VALUE"""),"")</f>
        <v/>
      </c>
      <c r="F97" s="28" t="str">
        <f ca="1">IFERROR(__xludf.DUMMYFUNCTION("""COMPUTED_VALUE"""),"")</f>
        <v/>
      </c>
      <c r="G97" s="27" t="str">
        <f ca="1">IFERROR(__xludf.DUMMYFUNCTION("""COMPUTED_VALUE"""),"")</f>
        <v/>
      </c>
      <c r="H97" s="28" t="str">
        <f ca="1">IFERROR(__xludf.DUMMYFUNCTION("""COMPUTED_VALUE"""),"")</f>
        <v/>
      </c>
      <c r="I97" s="27" t="str">
        <f ca="1">IFERROR(__xludf.DUMMYFUNCTION("""COMPUTED_VALUE"""),"")</f>
        <v/>
      </c>
      <c r="J97" s="27" t="str">
        <f ca="1">IFERROR(__xludf.DUMMYFUNCTION("""COMPUTED_VALUE"""),"")</f>
        <v/>
      </c>
      <c r="K97" s="27" t="str">
        <f ca="1">IFERROR(__xludf.DUMMYFUNCTION("""COMPUTED_VALUE"""),"")</f>
        <v/>
      </c>
      <c r="L97" s="27" t="str">
        <f ca="1">IFERROR(__xludf.DUMMYFUNCTION("""COMPUTED_VALUE"""),"")</f>
        <v/>
      </c>
      <c r="M97" s="27" t="str">
        <f ca="1">IFERROR(__xludf.DUMMYFUNCTION("""COMPUTED_VALUE"""),"")</f>
        <v/>
      </c>
      <c r="N97" s="42" t="str">
        <f ca="1">IFERROR(__xludf.DUMMYFUNCTION("""COMPUTED_VALUE"""),"")</f>
        <v/>
      </c>
    </row>
    <row r="98" spans="2:14" ht="12.5">
      <c r="B98" s="32"/>
      <c r="C98" s="33" t="str">
        <f ca="1">IFERROR(__xludf.DUMMYFUNCTION("""COMPUTED_VALUE"""),"")</f>
        <v/>
      </c>
      <c r="D98" s="41" t="str">
        <f ca="1">IFERROR(__xludf.DUMMYFUNCTION("""COMPUTED_VALUE"""),"")</f>
        <v/>
      </c>
      <c r="E98" s="39" t="str">
        <f ca="1">IFERROR(__xludf.DUMMYFUNCTION("""COMPUTED_VALUE"""),"")</f>
        <v/>
      </c>
      <c r="F98" s="28" t="str">
        <f ca="1">IFERROR(__xludf.DUMMYFUNCTION("""COMPUTED_VALUE"""),"")</f>
        <v/>
      </c>
      <c r="G98" s="27" t="str">
        <f ca="1">IFERROR(__xludf.DUMMYFUNCTION("""COMPUTED_VALUE"""),"")</f>
        <v/>
      </c>
      <c r="H98" s="28" t="str">
        <f ca="1">IFERROR(__xludf.DUMMYFUNCTION("""COMPUTED_VALUE"""),"")</f>
        <v/>
      </c>
      <c r="I98" s="27" t="str">
        <f ca="1">IFERROR(__xludf.DUMMYFUNCTION("""COMPUTED_VALUE"""),"")</f>
        <v/>
      </c>
      <c r="J98" s="27" t="str">
        <f ca="1">IFERROR(__xludf.DUMMYFUNCTION("""COMPUTED_VALUE"""),"")</f>
        <v/>
      </c>
      <c r="K98" s="27" t="str">
        <f ca="1">IFERROR(__xludf.DUMMYFUNCTION("""COMPUTED_VALUE"""),"")</f>
        <v/>
      </c>
      <c r="L98" s="27" t="str">
        <f ca="1">IFERROR(__xludf.DUMMYFUNCTION("""COMPUTED_VALUE"""),"")</f>
        <v/>
      </c>
      <c r="M98" s="27" t="str">
        <f ca="1">IFERROR(__xludf.DUMMYFUNCTION("""COMPUTED_VALUE"""),"")</f>
        <v/>
      </c>
      <c r="N98" s="42" t="str">
        <f ca="1">IFERROR(__xludf.DUMMYFUNCTION("""COMPUTED_VALUE"""),"")</f>
        <v/>
      </c>
    </row>
    <row r="99" spans="2:14" ht="12.5">
      <c r="B99" s="32"/>
      <c r="C99" s="33" t="str">
        <f ca="1">IFERROR(__xludf.DUMMYFUNCTION("""COMPUTED_VALUE"""),"")</f>
        <v/>
      </c>
      <c r="D99" s="41" t="str">
        <f ca="1">IFERROR(__xludf.DUMMYFUNCTION("""COMPUTED_VALUE"""),"")</f>
        <v/>
      </c>
      <c r="E99" s="39" t="str">
        <f ca="1">IFERROR(__xludf.DUMMYFUNCTION("""COMPUTED_VALUE"""),"")</f>
        <v/>
      </c>
      <c r="F99" s="28" t="str">
        <f ca="1">IFERROR(__xludf.DUMMYFUNCTION("""COMPUTED_VALUE"""),"")</f>
        <v/>
      </c>
      <c r="G99" s="27" t="str">
        <f ca="1">IFERROR(__xludf.DUMMYFUNCTION("""COMPUTED_VALUE"""),"")</f>
        <v/>
      </c>
      <c r="H99" s="28" t="str">
        <f ca="1">IFERROR(__xludf.DUMMYFUNCTION("""COMPUTED_VALUE"""),"")</f>
        <v/>
      </c>
      <c r="I99" s="27" t="str">
        <f ca="1">IFERROR(__xludf.DUMMYFUNCTION("""COMPUTED_VALUE"""),"")</f>
        <v/>
      </c>
      <c r="J99" s="27" t="str">
        <f ca="1">IFERROR(__xludf.DUMMYFUNCTION("""COMPUTED_VALUE"""),"")</f>
        <v/>
      </c>
      <c r="K99" s="27" t="str">
        <f ca="1">IFERROR(__xludf.DUMMYFUNCTION("""COMPUTED_VALUE"""),"")</f>
        <v/>
      </c>
      <c r="L99" s="27" t="str">
        <f ca="1">IFERROR(__xludf.DUMMYFUNCTION("""COMPUTED_VALUE"""),"")</f>
        <v/>
      </c>
      <c r="M99" s="27" t="str">
        <f ca="1">IFERROR(__xludf.DUMMYFUNCTION("""COMPUTED_VALUE"""),"")</f>
        <v/>
      </c>
      <c r="N99" s="42" t="str">
        <f ca="1">IFERROR(__xludf.DUMMYFUNCTION("""COMPUTED_VALUE"""),"")</f>
        <v/>
      </c>
    </row>
    <row r="100" spans="2:14" ht="12.5">
      <c r="B100" s="32"/>
      <c r="C100" s="33" t="str">
        <f ca="1">IFERROR(__xludf.DUMMYFUNCTION("""COMPUTED_VALUE"""),"")</f>
        <v/>
      </c>
      <c r="D100" s="41" t="str">
        <f ca="1">IFERROR(__xludf.DUMMYFUNCTION("""COMPUTED_VALUE"""),"")</f>
        <v/>
      </c>
      <c r="E100" s="39" t="str">
        <f ca="1">IFERROR(__xludf.DUMMYFUNCTION("""COMPUTED_VALUE"""),"")</f>
        <v/>
      </c>
      <c r="F100" s="28" t="str">
        <f ca="1">IFERROR(__xludf.DUMMYFUNCTION("""COMPUTED_VALUE"""),"")</f>
        <v/>
      </c>
      <c r="G100" s="27" t="str">
        <f ca="1">IFERROR(__xludf.DUMMYFUNCTION("""COMPUTED_VALUE"""),"")</f>
        <v/>
      </c>
      <c r="H100" s="28" t="str">
        <f ca="1">IFERROR(__xludf.DUMMYFUNCTION("""COMPUTED_VALUE"""),"")</f>
        <v/>
      </c>
      <c r="I100" s="27" t="str">
        <f ca="1">IFERROR(__xludf.DUMMYFUNCTION("""COMPUTED_VALUE"""),"")</f>
        <v/>
      </c>
      <c r="J100" s="27" t="str">
        <f ca="1">IFERROR(__xludf.DUMMYFUNCTION("""COMPUTED_VALUE"""),"")</f>
        <v/>
      </c>
      <c r="K100" s="27" t="str">
        <f ca="1">IFERROR(__xludf.DUMMYFUNCTION("""COMPUTED_VALUE"""),"")</f>
        <v/>
      </c>
      <c r="L100" s="27" t="str">
        <f ca="1">IFERROR(__xludf.DUMMYFUNCTION("""COMPUTED_VALUE"""),"")</f>
        <v/>
      </c>
      <c r="M100" s="27" t="str">
        <f ca="1">IFERROR(__xludf.DUMMYFUNCTION("""COMPUTED_VALUE"""),"")</f>
        <v/>
      </c>
      <c r="N100" s="42" t="str">
        <f ca="1">IFERROR(__xludf.DUMMYFUNCTION("""COMPUTED_VALUE"""),"")</f>
        <v/>
      </c>
    </row>
    <row r="101" spans="2:14" ht="12.5">
      <c r="B101" s="32"/>
      <c r="C101" s="33" t="str">
        <f ca="1">IFERROR(__xludf.DUMMYFUNCTION("""COMPUTED_VALUE"""),"")</f>
        <v/>
      </c>
      <c r="D101" s="41" t="str">
        <f ca="1">IFERROR(__xludf.DUMMYFUNCTION("""COMPUTED_VALUE"""),"")</f>
        <v/>
      </c>
      <c r="E101" s="39" t="str">
        <f ca="1">IFERROR(__xludf.DUMMYFUNCTION("""COMPUTED_VALUE"""),"")</f>
        <v/>
      </c>
      <c r="F101" s="28" t="str">
        <f ca="1">IFERROR(__xludf.DUMMYFUNCTION("""COMPUTED_VALUE"""),"")</f>
        <v/>
      </c>
      <c r="G101" s="27" t="str">
        <f ca="1">IFERROR(__xludf.DUMMYFUNCTION("""COMPUTED_VALUE"""),"")</f>
        <v/>
      </c>
      <c r="H101" s="28" t="str">
        <f ca="1">IFERROR(__xludf.DUMMYFUNCTION("""COMPUTED_VALUE"""),"")</f>
        <v/>
      </c>
      <c r="I101" s="27" t="str">
        <f ca="1">IFERROR(__xludf.DUMMYFUNCTION("""COMPUTED_VALUE"""),"")</f>
        <v/>
      </c>
      <c r="J101" s="27" t="str">
        <f ca="1">IFERROR(__xludf.DUMMYFUNCTION("""COMPUTED_VALUE"""),"")</f>
        <v/>
      </c>
      <c r="K101" s="27" t="str">
        <f ca="1">IFERROR(__xludf.DUMMYFUNCTION("""COMPUTED_VALUE"""),"")</f>
        <v/>
      </c>
      <c r="L101" s="27" t="str">
        <f ca="1">IFERROR(__xludf.DUMMYFUNCTION("""COMPUTED_VALUE"""),"")</f>
        <v/>
      </c>
      <c r="M101" s="27" t="str">
        <f ca="1">IFERROR(__xludf.DUMMYFUNCTION("""COMPUTED_VALUE"""),"")</f>
        <v/>
      </c>
      <c r="N101" s="42" t="str">
        <f ca="1">IFERROR(__xludf.DUMMYFUNCTION("""COMPUTED_VALUE"""),"")</f>
        <v/>
      </c>
    </row>
    <row r="102" spans="2:14" ht="12.5">
      <c r="B102" s="2"/>
      <c r="C102" s="2" t="str">
        <f ca="1">IFERROR(__xludf.DUMMYFUNCTION("""COMPUTED_VALUE"""),"")</f>
        <v/>
      </c>
      <c r="D102" s="2" t="str">
        <f ca="1">IFERROR(__xludf.DUMMYFUNCTION("""COMPUTED_VALUE"""),"")</f>
        <v/>
      </c>
      <c r="E102" s="29" t="str">
        <f ca="1">IFERROR(__xludf.DUMMYFUNCTION("""COMPUTED_VALUE"""),"")</f>
        <v/>
      </c>
      <c r="F102" s="30" t="str">
        <f ca="1">IFERROR(__xludf.DUMMYFUNCTION("""COMPUTED_VALUE"""),"")</f>
        <v/>
      </c>
      <c r="G102" s="29" t="str">
        <f ca="1">IFERROR(__xludf.DUMMYFUNCTION("""COMPUTED_VALUE"""),"")</f>
        <v/>
      </c>
      <c r="H102" s="30" t="str">
        <f ca="1">IFERROR(__xludf.DUMMYFUNCTION("""COMPUTED_VALUE"""),"")</f>
        <v/>
      </c>
      <c r="I102" s="29" t="str">
        <f ca="1">IFERROR(__xludf.DUMMYFUNCTION("""COMPUTED_VALUE"""),"")</f>
        <v/>
      </c>
      <c r="J102" s="29" t="str">
        <f ca="1">IFERROR(__xludf.DUMMYFUNCTION("""COMPUTED_VALUE"""),"")</f>
        <v/>
      </c>
      <c r="K102" s="29" t="str">
        <f ca="1">IFERROR(__xludf.DUMMYFUNCTION("""COMPUTED_VALUE"""),"")</f>
        <v/>
      </c>
      <c r="L102" s="29" t="str">
        <f ca="1">IFERROR(__xludf.DUMMYFUNCTION("""COMPUTED_VALUE"""),"")</f>
        <v/>
      </c>
      <c r="M102" s="29" t="str">
        <f ca="1">IFERROR(__xludf.DUMMYFUNCTION("""COMPUTED_VALUE"""),"")</f>
        <v/>
      </c>
      <c r="N102" s="29" t="str">
        <f ca="1">IFERROR(__xludf.DUMMYFUNCTION("""COMPUTED_VALUE"""),"")</f>
        <v/>
      </c>
    </row>
    <row r="103" spans="2:14" ht="12.5">
      <c r="B103" s="2"/>
      <c r="C103" s="2" t="str">
        <f ca="1">IFERROR(__xludf.DUMMYFUNCTION("""COMPUTED_VALUE"""),"")</f>
        <v/>
      </c>
      <c r="D103" s="2" t="str">
        <f ca="1">IFERROR(__xludf.DUMMYFUNCTION("""COMPUTED_VALUE"""),"")</f>
        <v/>
      </c>
      <c r="E103" s="29" t="str">
        <f ca="1">IFERROR(__xludf.DUMMYFUNCTION("""COMPUTED_VALUE"""),"")</f>
        <v/>
      </c>
      <c r="F103" s="30" t="str">
        <f ca="1">IFERROR(__xludf.DUMMYFUNCTION("""COMPUTED_VALUE"""),"")</f>
        <v/>
      </c>
      <c r="G103" s="29" t="str">
        <f ca="1">IFERROR(__xludf.DUMMYFUNCTION("""COMPUTED_VALUE"""),"")</f>
        <v/>
      </c>
      <c r="H103" s="30" t="str">
        <f ca="1">IFERROR(__xludf.DUMMYFUNCTION("""COMPUTED_VALUE"""),"")</f>
        <v/>
      </c>
      <c r="I103" s="29" t="str">
        <f ca="1">IFERROR(__xludf.DUMMYFUNCTION("""COMPUTED_VALUE"""),"")</f>
        <v/>
      </c>
      <c r="J103" s="29" t="str">
        <f ca="1">IFERROR(__xludf.DUMMYFUNCTION("""COMPUTED_VALUE"""),"")</f>
        <v/>
      </c>
      <c r="K103" s="29" t="str">
        <f ca="1">IFERROR(__xludf.DUMMYFUNCTION("""COMPUTED_VALUE"""),"")</f>
        <v/>
      </c>
      <c r="L103" s="29" t="str">
        <f ca="1">IFERROR(__xludf.DUMMYFUNCTION("""COMPUTED_VALUE"""),"")</f>
        <v/>
      </c>
      <c r="M103" s="29" t="str">
        <f ca="1">IFERROR(__xludf.DUMMYFUNCTION("""COMPUTED_VALUE"""),"")</f>
        <v/>
      </c>
      <c r="N103" s="29" t="str">
        <f ca="1">IFERROR(__xludf.DUMMYFUNCTION("""COMPUTED_VALUE"""),"")</f>
        <v/>
      </c>
    </row>
    <row r="104" spans="2:14" ht="12.5">
      <c r="B104" s="2"/>
      <c r="C104" s="2" t="str">
        <f ca="1">IFERROR(__xludf.DUMMYFUNCTION("""COMPUTED_VALUE"""),"")</f>
        <v/>
      </c>
      <c r="D104" s="2" t="str">
        <f ca="1">IFERROR(__xludf.DUMMYFUNCTION("""COMPUTED_VALUE"""),"")</f>
        <v/>
      </c>
      <c r="E104" s="29" t="str">
        <f ca="1">IFERROR(__xludf.DUMMYFUNCTION("""COMPUTED_VALUE"""),"")</f>
        <v/>
      </c>
      <c r="F104" s="30" t="str">
        <f ca="1">IFERROR(__xludf.DUMMYFUNCTION("""COMPUTED_VALUE"""),"")</f>
        <v/>
      </c>
      <c r="G104" s="29" t="str">
        <f ca="1">IFERROR(__xludf.DUMMYFUNCTION("""COMPUTED_VALUE"""),"")</f>
        <v/>
      </c>
      <c r="H104" s="30" t="str">
        <f ca="1">IFERROR(__xludf.DUMMYFUNCTION("""COMPUTED_VALUE"""),"")</f>
        <v/>
      </c>
      <c r="I104" s="29" t="str">
        <f ca="1">IFERROR(__xludf.DUMMYFUNCTION("""COMPUTED_VALUE"""),"")</f>
        <v/>
      </c>
      <c r="J104" s="29" t="str">
        <f ca="1">IFERROR(__xludf.DUMMYFUNCTION("""COMPUTED_VALUE"""),"")</f>
        <v/>
      </c>
      <c r="K104" s="29" t="str">
        <f ca="1">IFERROR(__xludf.DUMMYFUNCTION("""COMPUTED_VALUE"""),"")</f>
        <v/>
      </c>
      <c r="L104" s="29" t="str">
        <f ca="1">IFERROR(__xludf.DUMMYFUNCTION("""COMPUTED_VALUE"""),"")</f>
        <v/>
      </c>
      <c r="M104" s="29" t="str">
        <f ca="1">IFERROR(__xludf.DUMMYFUNCTION("""COMPUTED_VALUE"""),"")</f>
        <v/>
      </c>
      <c r="N104" s="29" t="str">
        <f ca="1">IFERROR(__xludf.DUMMYFUNCTION("""COMPUTED_VALUE"""),"")</f>
        <v/>
      </c>
    </row>
    <row r="105" spans="2:14" ht="12.5">
      <c r="B105" s="2"/>
      <c r="C105" s="2" t="str">
        <f ca="1">IFERROR(__xludf.DUMMYFUNCTION("""COMPUTED_VALUE"""),"")</f>
        <v/>
      </c>
      <c r="D105" s="2" t="str">
        <f ca="1">IFERROR(__xludf.DUMMYFUNCTION("""COMPUTED_VALUE"""),"")</f>
        <v/>
      </c>
      <c r="E105" s="29" t="str">
        <f ca="1">IFERROR(__xludf.DUMMYFUNCTION("""COMPUTED_VALUE"""),"")</f>
        <v/>
      </c>
      <c r="F105" s="30" t="str">
        <f ca="1">IFERROR(__xludf.DUMMYFUNCTION("""COMPUTED_VALUE"""),"")</f>
        <v/>
      </c>
      <c r="G105" s="29" t="str">
        <f ca="1">IFERROR(__xludf.DUMMYFUNCTION("""COMPUTED_VALUE"""),"")</f>
        <v/>
      </c>
      <c r="H105" s="30" t="str">
        <f ca="1">IFERROR(__xludf.DUMMYFUNCTION("""COMPUTED_VALUE"""),"")</f>
        <v/>
      </c>
      <c r="I105" s="29" t="str">
        <f ca="1">IFERROR(__xludf.DUMMYFUNCTION("""COMPUTED_VALUE"""),"")</f>
        <v/>
      </c>
      <c r="J105" s="29" t="str">
        <f ca="1">IFERROR(__xludf.DUMMYFUNCTION("""COMPUTED_VALUE"""),"")</f>
        <v/>
      </c>
      <c r="K105" s="29" t="str">
        <f ca="1">IFERROR(__xludf.DUMMYFUNCTION("""COMPUTED_VALUE"""),"")</f>
        <v/>
      </c>
      <c r="L105" s="29" t="str">
        <f ca="1">IFERROR(__xludf.DUMMYFUNCTION("""COMPUTED_VALUE"""),"")</f>
        <v/>
      </c>
      <c r="M105" s="29" t="str">
        <f ca="1">IFERROR(__xludf.DUMMYFUNCTION("""COMPUTED_VALUE"""),"")</f>
        <v/>
      </c>
      <c r="N105" s="29" t="str">
        <f ca="1">IFERROR(__xludf.DUMMYFUNCTION("""COMPUTED_VALUE"""),"")</f>
        <v/>
      </c>
    </row>
    <row r="106" spans="2:14" ht="12.5">
      <c r="B106" s="2"/>
      <c r="C106" s="2" t="str">
        <f ca="1">IFERROR(__xludf.DUMMYFUNCTION("""COMPUTED_VALUE"""),"")</f>
        <v/>
      </c>
      <c r="D106" s="2" t="str">
        <f ca="1">IFERROR(__xludf.DUMMYFUNCTION("""COMPUTED_VALUE"""),"")</f>
        <v/>
      </c>
      <c r="E106" s="29" t="str">
        <f ca="1">IFERROR(__xludf.DUMMYFUNCTION("""COMPUTED_VALUE"""),"")</f>
        <v/>
      </c>
      <c r="F106" s="30" t="str">
        <f ca="1">IFERROR(__xludf.DUMMYFUNCTION("""COMPUTED_VALUE"""),"")</f>
        <v/>
      </c>
      <c r="G106" s="29" t="str">
        <f ca="1">IFERROR(__xludf.DUMMYFUNCTION("""COMPUTED_VALUE"""),"")</f>
        <v/>
      </c>
      <c r="H106" s="30" t="str">
        <f ca="1">IFERROR(__xludf.DUMMYFUNCTION("""COMPUTED_VALUE"""),"")</f>
        <v/>
      </c>
      <c r="I106" s="29" t="str">
        <f ca="1">IFERROR(__xludf.DUMMYFUNCTION("""COMPUTED_VALUE"""),"")</f>
        <v/>
      </c>
      <c r="J106" s="29" t="str">
        <f ca="1">IFERROR(__xludf.DUMMYFUNCTION("""COMPUTED_VALUE"""),"")</f>
        <v/>
      </c>
      <c r="K106" s="29" t="str">
        <f ca="1">IFERROR(__xludf.DUMMYFUNCTION("""COMPUTED_VALUE"""),"")</f>
        <v/>
      </c>
      <c r="L106" s="29" t="str">
        <f ca="1">IFERROR(__xludf.DUMMYFUNCTION("""COMPUTED_VALUE"""),"")</f>
        <v/>
      </c>
      <c r="M106" s="29" t="str">
        <f ca="1">IFERROR(__xludf.DUMMYFUNCTION("""COMPUTED_VALUE"""),"")</f>
        <v/>
      </c>
      <c r="N106" s="29" t="str">
        <f ca="1">IFERROR(__xludf.DUMMYFUNCTION("""COMPUTED_VALUE"""),"")</f>
        <v/>
      </c>
    </row>
    <row r="107" spans="2:14" ht="12.5">
      <c r="B107" s="2"/>
      <c r="C107" s="2" t="str">
        <f ca="1">IFERROR(__xludf.DUMMYFUNCTION("""COMPUTED_VALUE"""),"")</f>
        <v/>
      </c>
      <c r="D107" s="2" t="str">
        <f ca="1">IFERROR(__xludf.DUMMYFUNCTION("""COMPUTED_VALUE"""),"")</f>
        <v/>
      </c>
      <c r="E107" s="29" t="str">
        <f ca="1">IFERROR(__xludf.DUMMYFUNCTION("""COMPUTED_VALUE"""),"")</f>
        <v/>
      </c>
      <c r="F107" s="30" t="str">
        <f ca="1">IFERROR(__xludf.DUMMYFUNCTION("""COMPUTED_VALUE"""),"")</f>
        <v/>
      </c>
      <c r="G107" s="29" t="str">
        <f ca="1">IFERROR(__xludf.DUMMYFUNCTION("""COMPUTED_VALUE"""),"")</f>
        <v/>
      </c>
      <c r="H107" s="30" t="str">
        <f ca="1">IFERROR(__xludf.DUMMYFUNCTION("""COMPUTED_VALUE"""),"")</f>
        <v/>
      </c>
      <c r="I107" s="29" t="str">
        <f ca="1">IFERROR(__xludf.DUMMYFUNCTION("""COMPUTED_VALUE"""),"")</f>
        <v/>
      </c>
      <c r="J107" s="29" t="str">
        <f ca="1">IFERROR(__xludf.DUMMYFUNCTION("""COMPUTED_VALUE"""),"")</f>
        <v/>
      </c>
      <c r="K107" s="29" t="str">
        <f ca="1">IFERROR(__xludf.DUMMYFUNCTION("""COMPUTED_VALUE"""),"")</f>
        <v/>
      </c>
      <c r="L107" s="29" t="str">
        <f ca="1">IFERROR(__xludf.DUMMYFUNCTION("""COMPUTED_VALUE"""),"")</f>
        <v/>
      </c>
      <c r="M107" s="29" t="str">
        <f ca="1">IFERROR(__xludf.DUMMYFUNCTION("""COMPUTED_VALUE"""),"")</f>
        <v/>
      </c>
      <c r="N107" s="29" t="str">
        <f ca="1">IFERROR(__xludf.DUMMYFUNCTION("""COMPUTED_VALUE"""),"")</f>
        <v/>
      </c>
    </row>
    <row r="108" spans="2:14" ht="12.5">
      <c r="B108" s="2"/>
      <c r="C108" s="2" t="str">
        <f ca="1">IFERROR(__xludf.DUMMYFUNCTION("""COMPUTED_VALUE"""),"")</f>
        <v/>
      </c>
      <c r="D108" s="2" t="str">
        <f ca="1">IFERROR(__xludf.DUMMYFUNCTION("""COMPUTED_VALUE"""),"")</f>
        <v/>
      </c>
      <c r="E108" s="29" t="str">
        <f ca="1">IFERROR(__xludf.DUMMYFUNCTION("""COMPUTED_VALUE"""),"")</f>
        <v/>
      </c>
      <c r="F108" s="30" t="str">
        <f ca="1">IFERROR(__xludf.DUMMYFUNCTION("""COMPUTED_VALUE"""),"")</f>
        <v/>
      </c>
      <c r="G108" s="29" t="str">
        <f ca="1">IFERROR(__xludf.DUMMYFUNCTION("""COMPUTED_VALUE"""),"")</f>
        <v/>
      </c>
      <c r="H108" s="30" t="str">
        <f ca="1">IFERROR(__xludf.DUMMYFUNCTION("""COMPUTED_VALUE"""),"")</f>
        <v/>
      </c>
      <c r="I108" s="29" t="str">
        <f ca="1">IFERROR(__xludf.DUMMYFUNCTION("""COMPUTED_VALUE"""),"")</f>
        <v/>
      </c>
      <c r="J108" s="29" t="str">
        <f ca="1">IFERROR(__xludf.DUMMYFUNCTION("""COMPUTED_VALUE"""),"")</f>
        <v/>
      </c>
      <c r="K108" s="29" t="str">
        <f ca="1">IFERROR(__xludf.DUMMYFUNCTION("""COMPUTED_VALUE"""),"")</f>
        <v/>
      </c>
      <c r="L108" s="29" t="str">
        <f ca="1">IFERROR(__xludf.DUMMYFUNCTION("""COMPUTED_VALUE"""),"")</f>
        <v/>
      </c>
      <c r="M108" s="29" t="str">
        <f ca="1">IFERROR(__xludf.DUMMYFUNCTION("""COMPUTED_VALUE"""),"")</f>
        <v/>
      </c>
      <c r="N108" s="29" t="str">
        <f ca="1">IFERROR(__xludf.DUMMYFUNCTION("""COMPUTED_VALUE"""),"")</f>
        <v/>
      </c>
    </row>
    <row r="109" spans="2:14" ht="12.5">
      <c r="B109" s="2"/>
      <c r="C109" s="2" t="str">
        <f ca="1">IFERROR(__xludf.DUMMYFUNCTION("""COMPUTED_VALUE"""),"")</f>
        <v/>
      </c>
      <c r="D109" s="2" t="str">
        <f ca="1">IFERROR(__xludf.DUMMYFUNCTION("""COMPUTED_VALUE"""),"")</f>
        <v/>
      </c>
      <c r="E109" s="29" t="str">
        <f ca="1">IFERROR(__xludf.DUMMYFUNCTION("""COMPUTED_VALUE"""),"")</f>
        <v/>
      </c>
      <c r="F109" s="30" t="str">
        <f ca="1">IFERROR(__xludf.DUMMYFUNCTION("""COMPUTED_VALUE"""),"")</f>
        <v/>
      </c>
      <c r="G109" s="29" t="str">
        <f ca="1">IFERROR(__xludf.DUMMYFUNCTION("""COMPUTED_VALUE"""),"")</f>
        <v/>
      </c>
      <c r="H109" s="30" t="str">
        <f ca="1">IFERROR(__xludf.DUMMYFUNCTION("""COMPUTED_VALUE"""),"")</f>
        <v/>
      </c>
      <c r="I109" s="29" t="str">
        <f ca="1">IFERROR(__xludf.DUMMYFUNCTION("""COMPUTED_VALUE"""),"")</f>
        <v/>
      </c>
      <c r="J109" s="29" t="str">
        <f ca="1">IFERROR(__xludf.DUMMYFUNCTION("""COMPUTED_VALUE"""),"")</f>
        <v/>
      </c>
      <c r="K109" s="29" t="str">
        <f ca="1">IFERROR(__xludf.DUMMYFUNCTION("""COMPUTED_VALUE"""),"")</f>
        <v/>
      </c>
      <c r="L109" s="29" t="str">
        <f ca="1">IFERROR(__xludf.DUMMYFUNCTION("""COMPUTED_VALUE"""),"")</f>
        <v/>
      </c>
      <c r="M109" s="29" t="str">
        <f ca="1">IFERROR(__xludf.DUMMYFUNCTION("""COMPUTED_VALUE"""),"")</f>
        <v/>
      </c>
      <c r="N109" s="29" t="str">
        <f ca="1">IFERROR(__xludf.DUMMYFUNCTION("""COMPUTED_VALUE"""),"")</f>
        <v/>
      </c>
    </row>
    <row r="110" spans="2:14" ht="12.5">
      <c r="B110" s="2"/>
      <c r="C110" s="2" t="str">
        <f ca="1">IFERROR(__xludf.DUMMYFUNCTION("""COMPUTED_VALUE"""),"")</f>
        <v/>
      </c>
      <c r="D110" s="2" t="str">
        <f ca="1">IFERROR(__xludf.DUMMYFUNCTION("""COMPUTED_VALUE"""),"")</f>
        <v/>
      </c>
      <c r="E110" s="29" t="str">
        <f ca="1">IFERROR(__xludf.DUMMYFUNCTION("""COMPUTED_VALUE"""),"")</f>
        <v/>
      </c>
      <c r="F110" s="30" t="str">
        <f ca="1">IFERROR(__xludf.DUMMYFUNCTION("""COMPUTED_VALUE"""),"")</f>
        <v/>
      </c>
      <c r="G110" s="29" t="str">
        <f ca="1">IFERROR(__xludf.DUMMYFUNCTION("""COMPUTED_VALUE"""),"")</f>
        <v/>
      </c>
      <c r="H110" s="30" t="str">
        <f ca="1">IFERROR(__xludf.DUMMYFUNCTION("""COMPUTED_VALUE"""),"")</f>
        <v/>
      </c>
      <c r="I110" s="29" t="str">
        <f ca="1">IFERROR(__xludf.DUMMYFUNCTION("""COMPUTED_VALUE"""),"")</f>
        <v/>
      </c>
      <c r="J110" s="29" t="str">
        <f ca="1">IFERROR(__xludf.DUMMYFUNCTION("""COMPUTED_VALUE"""),"")</f>
        <v/>
      </c>
      <c r="K110" s="29" t="str">
        <f ca="1">IFERROR(__xludf.DUMMYFUNCTION("""COMPUTED_VALUE"""),"")</f>
        <v/>
      </c>
      <c r="L110" s="29" t="str">
        <f ca="1">IFERROR(__xludf.DUMMYFUNCTION("""COMPUTED_VALUE"""),"")</f>
        <v/>
      </c>
      <c r="M110" s="29" t="str">
        <f ca="1">IFERROR(__xludf.DUMMYFUNCTION("""COMPUTED_VALUE"""),"")</f>
        <v/>
      </c>
      <c r="N110" s="29" t="str">
        <f ca="1">IFERROR(__xludf.DUMMYFUNCTION("""COMPUTED_VALUE"""),"")</f>
        <v/>
      </c>
    </row>
    <row r="111" spans="2:14" ht="12.5">
      <c r="B111" s="2"/>
      <c r="C111" s="2" t="str">
        <f ca="1">IFERROR(__xludf.DUMMYFUNCTION("""COMPUTED_VALUE"""),"")</f>
        <v/>
      </c>
      <c r="D111" s="2" t="str">
        <f ca="1">IFERROR(__xludf.DUMMYFUNCTION("""COMPUTED_VALUE"""),"")</f>
        <v/>
      </c>
      <c r="E111" s="29" t="str">
        <f ca="1">IFERROR(__xludf.DUMMYFUNCTION("""COMPUTED_VALUE"""),"")</f>
        <v/>
      </c>
      <c r="F111" s="30" t="str">
        <f ca="1">IFERROR(__xludf.DUMMYFUNCTION("""COMPUTED_VALUE"""),"")</f>
        <v/>
      </c>
      <c r="G111" s="29" t="str">
        <f ca="1">IFERROR(__xludf.DUMMYFUNCTION("""COMPUTED_VALUE"""),"")</f>
        <v/>
      </c>
      <c r="H111" s="30" t="str">
        <f ca="1">IFERROR(__xludf.DUMMYFUNCTION("""COMPUTED_VALUE"""),"")</f>
        <v/>
      </c>
      <c r="I111" s="29" t="str">
        <f ca="1">IFERROR(__xludf.DUMMYFUNCTION("""COMPUTED_VALUE"""),"")</f>
        <v/>
      </c>
      <c r="J111" s="29" t="str">
        <f ca="1">IFERROR(__xludf.DUMMYFUNCTION("""COMPUTED_VALUE"""),"")</f>
        <v/>
      </c>
      <c r="K111" s="29" t="str">
        <f ca="1">IFERROR(__xludf.DUMMYFUNCTION("""COMPUTED_VALUE"""),"")</f>
        <v/>
      </c>
      <c r="L111" s="29" t="str">
        <f ca="1">IFERROR(__xludf.DUMMYFUNCTION("""COMPUTED_VALUE"""),"")</f>
        <v/>
      </c>
      <c r="M111" s="29" t="str">
        <f ca="1">IFERROR(__xludf.DUMMYFUNCTION("""COMPUTED_VALUE"""),"")</f>
        <v/>
      </c>
      <c r="N111" s="29" t="str">
        <f ca="1">IFERROR(__xludf.DUMMYFUNCTION("""COMPUTED_VALUE"""),"")</f>
        <v/>
      </c>
    </row>
    <row r="112" spans="2:14" ht="12.5">
      <c r="B112" s="2"/>
      <c r="C112" s="2" t="str">
        <f ca="1">IFERROR(__xludf.DUMMYFUNCTION("""COMPUTED_VALUE"""),"")</f>
        <v/>
      </c>
      <c r="D112" s="2" t="str">
        <f ca="1">IFERROR(__xludf.DUMMYFUNCTION("""COMPUTED_VALUE"""),"")</f>
        <v/>
      </c>
      <c r="E112" s="29" t="str">
        <f ca="1">IFERROR(__xludf.DUMMYFUNCTION("""COMPUTED_VALUE"""),"")</f>
        <v/>
      </c>
      <c r="F112" s="30" t="str">
        <f ca="1">IFERROR(__xludf.DUMMYFUNCTION("""COMPUTED_VALUE"""),"")</f>
        <v/>
      </c>
      <c r="G112" s="29" t="str">
        <f ca="1">IFERROR(__xludf.DUMMYFUNCTION("""COMPUTED_VALUE"""),"")</f>
        <v/>
      </c>
      <c r="H112" s="30" t="str">
        <f ca="1">IFERROR(__xludf.DUMMYFUNCTION("""COMPUTED_VALUE"""),"")</f>
        <v/>
      </c>
      <c r="I112" s="29" t="str">
        <f ca="1">IFERROR(__xludf.DUMMYFUNCTION("""COMPUTED_VALUE"""),"")</f>
        <v/>
      </c>
      <c r="J112" s="29" t="str">
        <f ca="1">IFERROR(__xludf.DUMMYFUNCTION("""COMPUTED_VALUE"""),"")</f>
        <v/>
      </c>
      <c r="K112" s="29" t="str">
        <f ca="1">IFERROR(__xludf.DUMMYFUNCTION("""COMPUTED_VALUE"""),"")</f>
        <v/>
      </c>
      <c r="L112" s="29" t="str">
        <f ca="1">IFERROR(__xludf.DUMMYFUNCTION("""COMPUTED_VALUE"""),"")</f>
        <v/>
      </c>
      <c r="M112" s="29" t="str">
        <f ca="1">IFERROR(__xludf.DUMMYFUNCTION("""COMPUTED_VALUE"""),"")</f>
        <v/>
      </c>
      <c r="N112" s="29" t="str">
        <f ca="1">IFERROR(__xludf.DUMMYFUNCTION("""COMPUTED_VALUE"""),"")</f>
        <v/>
      </c>
    </row>
    <row r="113" spans="2:14" ht="12.5">
      <c r="B113" s="2"/>
      <c r="C113" s="2" t="str">
        <f ca="1">IFERROR(__xludf.DUMMYFUNCTION("""COMPUTED_VALUE"""),"")</f>
        <v/>
      </c>
      <c r="D113" s="2" t="str">
        <f ca="1">IFERROR(__xludf.DUMMYFUNCTION("""COMPUTED_VALUE"""),"")</f>
        <v/>
      </c>
      <c r="E113" s="29" t="str">
        <f ca="1">IFERROR(__xludf.DUMMYFUNCTION("""COMPUTED_VALUE"""),"")</f>
        <v/>
      </c>
      <c r="F113" s="30" t="str">
        <f ca="1">IFERROR(__xludf.DUMMYFUNCTION("""COMPUTED_VALUE"""),"")</f>
        <v/>
      </c>
      <c r="G113" s="29" t="str">
        <f ca="1">IFERROR(__xludf.DUMMYFUNCTION("""COMPUTED_VALUE"""),"")</f>
        <v/>
      </c>
      <c r="H113" s="30" t="str">
        <f ca="1">IFERROR(__xludf.DUMMYFUNCTION("""COMPUTED_VALUE"""),"")</f>
        <v/>
      </c>
      <c r="I113" s="29" t="str">
        <f ca="1">IFERROR(__xludf.DUMMYFUNCTION("""COMPUTED_VALUE"""),"")</f>
        <v/>
      </c>
      <c r="J113" s="29" t="str">
        <f ca="1">IFERROR(__xludf.DUMMYFUNCTION("""COMPUTED_VALUE"""),"")</f>
        <v/>
      </c>
      <c r="K113" s="29" t="str">
        <f ca="1">IFERROR(__xludf.DUMMYFUNCTION("""COMPUTED_VALUE"""),"")</f>
        <v/>
      </c>
      <c r="L113" s="29" t="str">
        <f ca="1">IFERROR(__xludf.DUMMYFUNCTION("""COMPUTED_VALUE"""),"")</f>
        <v/>
      </c>
      <c r="M113" s="29" t="str">
        <f ca="1">IFERROR(__xludf.DUMMYFUNCTION("""COMPUTED_VALUE"""),"")</f>
        <v/>
      </c>
      <c r="N113" s="29" t="str">
        <f ca="1">IFERROR(__xludf.DUMMYFUNCTION("""COMPUTED_VALUE"""),"")</f>
        <v/>
      </c>
    </row>
    <row r="114" spans="2:14" ht="12.5">
      <c r="B114" s="2"/>
      <c r="C114" s="2" t="str">
        <f ca="1">IFERROR(__xludf.DUMMYFUNCTION("""COMPUTED_VALUE"""),"")</f>
        <v/>
      </c>
      <c r="D114" s="2" t="str">
        <f ca="1">IFERROR(__xludf.DUMMYFUNCTION("""COMPUTED_VALUE"""),"")</f>
        <v/>
      </c>
      <c r="E114" s="29" t="str">
        <f ca="1">IFERROR(__xludf.DUMMYFUNCTION("""COMPUTED_VALUE"""),"")</f>
        <v/>
      </c>
      <c r="F114" s="30" t="str">
        <f ca="1">IFERROR(__xludf.DUMMYFUNCTION("""COMPUTED_VALUE"""),"")</f>
        <v/>
      </c>
      <c r="G114" s="29" t="str">
        <f ca="1">IFERROR(__xludf.DUMMYFUNCTION("""COMPUTED_VALUE"""),"")</f>
        <v/>
      </c>
      <c r="H114" s="30" t="str">
        <f ca="1">IFERROR(__xludf.DUMMYFUNCTION("""COMPUTED_VALUE"""),"")</f>
        <v/>
      </c>
      <c r="I114" s="29" t="str">
        <f ca="1">IFERROR(__xludf.DUMMYFUNCTION("""COMPUTED_VALUE"""),"")</f>
        <v/>
      </c>
      <c r="J114" s="29" t="str">
        <f ca="1">IFERROR(__xludf.DUMMYFUNCTION("""COMPUTED_VALUE"""),"")</f>
        <v/>
      </c>
      <c r="K114" s="29" t="str">
        <f ca="1">IFERROR(__xludf.DUMMYFUNCTION("""COMPUTED_VALUE"""),"")</f>
        <v/>
      </c>
      <c r="L114" s="29" t="str">
        <f ca="1">IFERROR(__xludf.DUMMYFUNCTION("""COMPUTED_VALUE"""),"")</f>
        <v/>
      </c>
      <c r="M114" s="29" t="str">
        <f ca="1">IFERROR(__xludf.DUMMYFUNCTION("""COMPUTED_VALUE"""),"")</f>
        <v/>
      </c>
      <c r="N114" s="29" t="str">
        <f ca="1">IFERROR(__xludf.DUMMYFUNCTION("""COMPUTED_VALUE"""),"")</f>
        <v/>
      </c>
    </row>
    <row r="115" spans="2:14" ht="12.5">
      <c r="B115" s="2"/>
      <c r="C115" s="2" t="str">
        <f ca="1">IFERROR(__xludf.DUMMYFUNCTION("""COMPUTED_VALUE"""),"")</f>
        <v/>
      </c>
      <c r="D115" s="2" t="str">
        <f ca="1">IFERROR(__xludf.DUMMYFUNCTION("""COMPUTED_VALUE"""),"")</f>
        <v/>
      </c>
      <c r="E115" s="29" t="str">
        <f ca="1">IFERROR(__xludf.DUMMYFUNCTION("""COMPUTED_VALUE"""),"")</f>
        <v/>
      </c>
      <c r="F115" s="30" t="str">
        <f ca="1">IFERROR(__xludf.DUMMYFUNCTION("""COMPUTED_VALUE"""),"")</f>
        <v/>
      </c>
      <c r="G115" s="29" t="str">
        <f ca="1">IFERROR(__xludf.DUMMYFUNCTION("""COMPUTED_VALUE"""),"")</f>
        <v/>
      </c>
      <c r="H115" s="30" t="str">
        <f ca="1">IFERROR(__xludf.DUMMYFUNCTION("""COMPUTED_VALUE"""),"")</f>
        <v/>
      </c>
      <c r="I115" s="29" t="str">
        <f ca="1">IFERROR(__xludf.DUMMYFUNCTION("""COMPUTED_VALUE"""),"")</f>
        <v/>
      </c>
      <c r="J115" s="29" t="str">
        <f ca="1">IFERROR(__xludf.DUMMYFUNCTION("""COMPUTED_VALUE"""),"")</f>
        <v/>
      </c>
      <c r="K115" s="29" t="str">
        <f ca="1">IFERROR(__xludf.DUMMYFUNCTION("""COMPUTED_VALUE"""),"")</f>
        <v/>
      </c>
      <c r="L115" s="29" t="str">
        <f ca="1">IFERROR(__xludf.DUMMYFUNCTION("""COMPUTED_VALUE"""),"")</f>
        <v/>
      </c>
      <c r="M115" s="29" t="str">
        <f ca="1">IFERROR(__xludf.DUMMYFUNCTION("""COMPUTED_VALUE"""),"")</f>
        <v/>
      </c>
      <c r="N115" s="29" t="str">
        <f ca="1">IFERROR(__xludf.DUMMYFUNCTION("""COMPUTED_VALUE"""),"")</f>
        <v/>
      </c>
    </row>
    <row r="116" spans="2:14" ht="12.5">
      <c r="B116" s="2"/>
      <c r="C116" s="2" t="str">
        <f ca="1">IFERROR(__xludf.DUMMYFUNCTION("""COMPUTED_VALUE"""),"")</f>
        <v/>
      </c>
      <c r="D116" s="2" t="str">
        <f ca="1">IFERROR(__xludf.DUMMYFUNCTION("""COMPUTED_VALUE"""),"")</f>
        <v/>
      </c>
      <c r="E116" s="29" t="str">
        <f ca="1">IFERROR(__xludf.DUMMYFUNCTION("""COMPUTED_VALUE"""),"")</f>
        <v/>
      </c>
      <c r="F116" s="30" t="str">
        <f ca="1">IFERROR(__xludf.DUMMYFUNCTION("""COMPUTED_VALUE"""),"")</f>
        <v/>
      </c>
      <c r="G116" s="29" t="str">
        <f ca="1">IFERROR(__xludf.DUMMYFUNCTION("""COMPUTED_VALUE"""),"")</f>
        <v/>
      </c>
      <c r="H116" s="30" t="str">
        <f ca="1">IFERROR(__xludf.DUMMYFUNCTION("""COMPUTED_VALUE"""),"")</f>
        <v/>
      </c>
      <c r="I116" s="29" t="str">
        <f ca="1">IFERROR(__xludf.DUMMYFUNCTION("""COMPUTED_VALUE"""),"")</f>
        <v/>
      </c>
      <c r="J116" s="29" t="str">
        <f ca="1">IFERROR(__xludf.DUMMYFUNCTION("""COMPUTED_VALUE"""),"")</f>
        <v/>
      </c>
      <c r="K116" s="29" t="str">
        <f ca="1">IFERROR(__xludf.DUMMYFUNCTION("""COMPUTED_VALUE"""),"")</f>
        <v/>
      </c>
      <c r="L116" s="29" t="str">
        <f ca="1">IFERROR(__xludf.DUMMYFUNCTION("""COMPUTED_VALUE"""),"")</f>
        <v/>
      </c>
      <c r="M116" s="29" t="str">
        <f ca="1">IFERROR(__xludf.DUMMYFUNCTION("""COMPUTED_VALUE"""),"")</f>
        <v/>
      </c>
      <c r="N116" s="29" t="str">
        <f ca="1">IFERROR(__xludf.DUMMYFUNCTION("""COMPUTED_VALUE"""),"")</f>
        <v/>
      </c>
    </row>
    <row r="117" spans="2:14" ht="12.5">
      <c r="B117" s="2"/>
      <c r="C117" s="2" t="str">
        <f ca="1">IFERROR(__xludf.DUMMYFUNCTION("""COMPUTED_VALUE"""),"")</f>
        <v/>
      </c>
      <c r="D117" s="2" t="str">
        <f ca="1">IFERROR(__xludf.DUMMYFUNCTION("""COMPUTED_VALUE"""),"")</f>
        <v/>
      </c>
      <c r="E117" s="29" t="str">
        <f ca="1">IFERROR(__xludf.DUMMYFUNCTION("""COMPUTED_VALUE"""),"")</f>
        <v/>
      </c>
      <c r="F117" s="30" t="str">
        <f ca="1">IFERROR(__xludf.DUMMYFUNCTION("""COMPUTED_VALUE"""),"")</f>
        <v/>
      </c>
      <c r="G117" s="29" t="str">
        <f ca="1">IFERROR(__xludf.DUMMYFUNCTION("""COMPUTED_VALUE"""),"")</f>
        <v/>
      </c>
      <c r="H117" s="30" t="str">
        <f ca="1">IFERROR(__xludf.DUMMYFUNCTION("""COMPUTED_VALUE"""),"")</f>
        <v/>
      </c>
      <c r="I117" s="29" t="str">
        <f ca="1">IFERROR(__xludf.DUMMYFUNCTION("""COMPUTED_VALUE"""),"")</f>
        <v/>
      </c>
      <c r="J117" s="29" t="str">
        <f ca="1">IFERROR(__xludf.DUMMYFUNCTION("""COMPUTED_VALUE"""),"")</f>
        <v/>
      </c>
      <c r="K117" s="29" t="str">
        <f ca="1">IFERROR(__xludf.DUMMYFUNCTION("""COMPUTED_VALUE"""),"")</f>
        <v/>
      </c>
      <c r="L117" s="29" t="str">
        <f ca="1">IFERROR(__xludf.DUMMYFUNCTION("""COMPUTED_VALUE"""),"")</f>
        <v/>
      </c>
      <c r="M117" s="29" t="str">
        <f ca="1">IFERROR(__xludf.DUMMYFUNCTION("""COMPUTED_VALUE"""),"")</f>
        <v/>
      </c>
      <c r="N117" s="29" t="str">
        <f ca="1">IFERROR(__xludf.DUMMYFUNCTION("""COMPUTED_VALUE"""),"")</f>
        <v/>
      </c>
    </row>
    <row r="118" spans="2:14" ht="12.5">
      <c r="B118" s="2"/>
      <c r="C118" s="2" t="str">
        <f ca="1">IFERROR(__xludf.DUMMYFUNCTION("""COMPUTED_VALUE"""),"")</f>
        <v/>
      </c>
      <c r="D118" s="2" t="str">
        <f ca="1">IFERROR(__xludf.DUMMYFUNCTION("""COMPUTED_VALUE"""),"")</f>
        <v/>
      </c>
      <c r="E118" s="29" t="str">
        <f ca="1">IFERROR(__xludf.DUMMYFUNCTION("""COMPUTED_VALUE"""),"")</f>
        <v/>
      </c>
      <c r="F118" s="30" t="str">
        <f ca="1">IFERROR(__xludf.DUMMYFUNCTION("""COMPUTED_VALUE"""),"")</f>
        <v/>
      </c>
      <c r="G118" s="29" t="str">
        <f ca="1">IFERROR(__xludf.DUMMYFUNCTION("""COMPUTED_VALUE"""),"")</f>
        <v/>
      </c>
      <c r="H118" s="30" t="str">
        <f ca="1">IFERROR(__xludf.DUMMYFUNCTION("""COMPUTED_VALUE"""),"")</f>
        <v/>
      </c>
      <c r="I118" s="29" t="str">
        <f ca="1">IFERROR(__xludf.DUMMYFUNCTION("""COMPUTED_VALUE"""),"")</f>
        <v/>
      </c>
      <c r="J118" s="29" t="str">
        <f ca="1">IFERROR(__xludf.DUMMYFUNCTION("""COMPUTED_VALUE"""),"")</f>
        <v/>
      </c>
      <c r="K118" s="29" t="str">
        <f ca="1">IFERROR(__xludf.DUMMYFUNCTION("""COMPUTED_VALUE"""),"")</f>
        <v/>
      </c>
      <c r="L118" s="29" t="str">
        <f ca="1">IFERROR(__xludf.DUMMYFUNCTION("""COMPUTED_VALUE"""),"")</f>
        <v/>
      </c>
      <c r="M118" s="29" t="str">
        <f ca="1">IFERROR(__xludf.DUMMYFUNCTION("""COMPUTED_VALUE"""),"")</f>
        <v/>
      </c>
      <c r="N118" s="29" t="str">
        <f ca="1">IFERROR(__xludf.DUMMYFUNCTION("""COMPUTED_VALUE"""),"")</f>
        <v/>
      </c>
    </row>
    <row r="119" spans="2:14" ht="12.5">
      <c r="B119" s="2"/>
      <c r="C119" s="2" t="str">
        <f ca="1">IFERROR(__xludf.DUMMYFUNCTION("""COMPUTED_VALUE"""),"")</f>
        <v/>
      </c>
      <c r="D119" s="2" t="str">
        <f ca="1">IFERROR(__xludf.DUMMYFUNCTION("""COMPUTED_VALUE"""),"")</f>
        <v/>
      </c>
      <c r="E119" s="29" t="str">
        <f ca="1">IFERROR(__xludf.DUMMYFUNCTION("""COMPUTED_VALUE"""),"")</f>
        <v/>
      </c>
      <c r="F119" s="30" t="str">
        <f ca="1">IFERROR(__xludf.DUMMYFUNCTION("""COMPUTED_VALUE"""),"")</f>
        <v/>
      </c>
      <c r="G119" s="29" t="str">
        <f ca="1">IFERROR(__xludf.DUMMYFUNCTION("""COMPUTED_VALUE"""),"")</f>
        <v/>
      </c>
      <c r="H119" s="30" t="str">
        <f ca="1">IFERROR(__xludf.DUMMYFUNCTION("""COMPUTED_VALUE"""),"")</f>
        <v/>
      </c>
      <c r="I119" s="29" t="str">
        <f ca="1">IFERROR(__xludf.DUMMYFUNCTION("""COMPUTED_VALUE"""),"")</f>
        <v/>
      </c>
      <c r="J119" s="29" t="str">
        <f ca="1">IFERROR(__xludf.DUMMYFUNCTION("""COMPUTED_VALUE"""),"")</f>
        <v/>
      </c>
      <c r="K119" s="29" t="str">
        <f ca="1">IFERROR(__xludf.DUMMYFUNCTION("""COMPUTED_VALUE"""),"")</f>
        <v/>
      </c>
      <c r="L119" s="29" t="str">
        <f ca="1">IFERROR(__xludf.DUMMYFUNCTION("""COMPUTED_VALUE"""),"")</f>
        <v/>
      </c>
      <c r="M119" s="29" t="str">
        <f ca="1">IFERROR(__xludf.DUMMYFUNCTION("""COMPUTED_VALUE"""),"")</f>
        <v/>
      </c>
      <c r="N119" s="29" t="str">
        <f ca="1">IFERROR(__xludf.DUMMYFUNCTION("""COMPUTED_VALUE"""),"")</f>
        <v/>
      </c>
    </row>
    <row r="120" spans="2:14" ht="12.5">
      <c r="B120" s="2"/>
      <c r="C120" s="2" t="str">
        <f ca="1">IFERROR(__xludf.DUMMYFUNCTION("""COMPUTED_VALUE"""),"")</f>
        <v/>
      </c>
      <c r="D120" s="2" t="str">
        <f ca="1">IFERROR(__xludf.DUMMYFUNCTION("""COMPUTED_VALUE"""),"")</f>
        <v/>
      </c>
      <c r="E120" s="29" t="str">
        <f ca="1">IFERROR(__xludf.DUMMYFUNCTION("""COMPUTED_VALUE"""),"")</f>
        <v/>
      </c>
      <c r="F120" s="30" t="str">
        <f ca="1">IFERROR(__xludf.DUMMYFUNCTION("""COMPUTED_VALUE"""),"")</f>
        <v/>
      </c>
      <c r="G120" s="29" t="str">
        <f ca="1">IFERROR(__xludf.DUMMYFUNCTION("""COMPUTED_VALUE"""),"")</f>
        <v/>
      </c>
      <c r="H120" s="30" t="str">
        <f ca="1">IFERROR(__xludf.DUMMYFUNCTION("""COMPUTED_VALUE"""),"")</f>
        <v/>
      </c>
      <c r="I120" s="29" t="str">
        <f ca="1">IFERROR(__xludf.DUMMYFUNCTION("""COMPUTED_VALUE"""),"")</f>
        <v/>
      </c>
      <c r="J120" s="29" t="str">
        <f ca="1">IFERROR(__xludf.DUMMYFUNCTION("""COMPUTED_VALUE"""),"")</f>
        <v/>
      </c>
      <c r="K120" s="29" t="str">
        <f ca="1">IFERROR(__xludf.DUMMYFUNCTION("""COMPUTED_VALUE"""),"")</f>
        <v/>
      </c>
      <c r="L120" s="29" t="str">
        <f ca="1">IFERROR(__xludf.DUMMYFUNCTION("""COMPUTED_VALUE"""),"")</f>
        <v/>
      </c>
      <c r="M120" s="29" t="str">
        <f ca="1">IFERROR(__xludf.DUMMYFUNCTION("""COMPUTED_VALUE"""),"")</f>
        <v/>
      </c>
      <c r="N120" s="29" t="str">
        <f ca="1">IFERROR(__xludf.DUMMYFUNCTION("""COMPUTED_VALUE"""),"")</f>
        <v/>
      </c>
    </row>
    <row r="121" spans="2:14" ht="12.5">
      <c r="B121" s="2"/>
      <c r="C121" s="2" t="str">
        <f ca="1">IFERROR(__xludf.DUMMYFUNCTION("""COMPUTED_VALUE"""),"")</f>
        <v/>
      </c>
      <c r="D121" s="2" t="str">
        <f ca="1">IFERROR(__xludf.DUMMYFUNCTION("""COMPUTED_VALUE"""),"")</f>
        <v/>
      </c>
      <c r="E121" s="29" t="str">
        <f ca="1">IFERROR(__xludf.DUMMYFUNCTION("""COMPUTED_VALUE"""),"")</f>
        <v/>
      </c>
      <c r="F121" s="30" t="str">
        <f ca="1">IFERROR(__xludf.DUMMYFUNCTION("""COMPUTED_VALUE"""),"")</f>
        <v/>
      </c>
      <c r="G121" s="29" t="str">
        <f ca="1">IFERROR(__xludf.DUMMYFUNCTION("""COMPUTED_VALUE"""),"")</f>
        <v/>
      </c>
      <c r="H121" s="30" t="str">
        <f ca="1">IFERROR(__xludf.DUMMYFUNCTION("""COMPUTED_VALUE"""),"")</f>
        <v/>
      </c>
      <c r="I121" s="29" t="str">
        <f ca="1">IFERROR(__xludf.DUMMYFUNCTION("""COMPUTED_VALUE"""),"")</f>
        <v/>
      </c>
      <c r="J121" s="29" t="str">
        <f ca="1">IFERROR(__xludf.DUMMYFUNCTION("""COMPUTED_VALUE"""),"")</f>
        <v/>
      </c>
      <c r="K121" s="29" t="str">
        <f ca="1">IFERROR(__xludf.DUMMYFUNCTION("""COMPUTED_VALUE"""),"")</f>
        <v/>
      </c>
      <c r="L121" s="29" t="str">
        <f ca="1">IFERROR(__xludf.DUMMYFUNCTION("""COMPUTED_VALUE"""),"")</f>
        <v/>
      </c>
      <c r="M121" s="29" t="str">
        <f ca="1">IFERROR(__xludf.DUMMYFUNCTION("""COMPUTED_VALUE"""),"")</f>
        <v/>
      </c>
      <c r="N121" s="29" t="str">
        <f ca="1">IFERROR(__xludf.DUMMYFUNCTION("""COMPUTED_VALUE"""),"")</f>
        <v/>
      </c>
    </row>
    <row r="122" spans="2:14" ht="12.5">
      <c r="B122" s="2"/>
      <c r="C122" s="2" t="str">
        <f ca="1">IFERROR(__xludf.DUMMYFUNCTION("""COMPUTED_VALUE"""),"")</f>
        <v/>
      </c>
      <c r="D122" s="2" t="str">
        <f ca="1">IFERROR(__xludf.DUMMYFUNCTION("""COMPUTED_VALUE"""),"")</f>
        <v/>
      </c>
      <c r="E122" s="29" t="str">
        <f ca="1">IFERROR(__xludf.DUMMYFUNCTION("""COMPUTED_VALUE"""),"")</f>
        <v/>
      </c>
      <c r="F122" s="30" t="str">
        <f ca="1">IFERROR(__xludf.DUMMYFUNCTION("""COMPUTED_VALUE"""),"")</f>
        <v/>
      </c>
      <c r="G122" s="29" t="str">
        <f ca="1">IFERROR(__xludf.DUMMYFUNCTION("""COMPUTED_VALUE"""),"")</f>
        <v/>
      </c>
      <c r="H122" s="30" t="str">
        <f ca="1">IFERROR(__xludf.DUMMYFUNCTION("""COMPUTED_VALUE"""),"")</f>
        <v/>
      </c>
      <c r="I122" s="29" t="str">
        <f ca="1">IFERROR(__xludf.DUMMYFUNCTION("""COMPUTED_VALUE"""),"")</f>
        <v/>
      </c>
      <c r="J122" s="29" t="str">
        <f ca="1">IFERROR(__xludf.DUMMYFUNCTION("""COMPUTED_VALUE"""),"")</f>
        <v/>
      </c>
      <c r="K122" s="29" t="str">
        <f ca="1">IFERROR(__xludf.DUMMYFUNCTION("""COMPUTED_VALUE"""),"")</f>
        <v/>
      </c>
      <c r="L122" s="29" t="str">
        <f ca="1">IFERROR(__xludf.DUMMYFUNCTION("""COMPUTED_VALUE"""),"")</f>
        <v/>
      </c>
      <c r="M122" s="29" t="str">
        <f ca="1">IFERROR(__xludf.DUMMYFUNCTION("""COMPUTED_VALUE"""),"")</f>
        <v/>
      </c>
      <c r="N122" s="29" t="str">
        <f ca="1">IFERROR(__xludf.DUMMYFUNCTION("""COMPUTED_VALUE"""),"")</f>
        <v/>
      </c>
    </row>
    <row r="123" spans="2:14" ht="12.5">
      <c r="B123" s="2"/>
      <c r="C123" s="2" t="str">
        <f ca="1">IFERROR(__xludf.DUMMYFUNCTION("""COMPUTED_VALUE"""),"")</f>
        <v/>
      </c>
      <c r="D123" s="2" t="str">
        <f ca="1">IFERROR(__xludf.DUMMYFUNCTION("""COMPUTED_VALUE"""),"")</f>
        <v/>
      </c>
      <c r="E123" s="29" t="str">
        <f ca="1">IFERROR(__xludf.DUMMYFUNCTION("""COMPUTED_VALUE"""),"")</f>
        <v/>
      </c>
      <c r="F123" s="30" t="str">
        <f ca="1">IFERROR(__xludf.DUMMYFUNCTION("""COMPUTED_VALUE"""),"")</f>
        <v/>
      </c>
      <c r="G123" s="29" t="str">
        <f ca="1">IFERROR(__xludf.DUMMYFUNCTION("""COMPUTED_VALUE"""),"")</f>
        <v/>
      </c>
      <c r="H123" s="30" t="str">
        <f ca="1">IFERROR(__xludf.DUMMYFUNCTION("""COMPUTED_VALUE"""),"")</f>
        <v/>
      </c>
      <c r="I123" s="29" t="str">
        <f ca="1">IFERROR(__xludf.DUMMYFUNCTION("""COMPUTED_VALUE"""),"")</f>
        <v/>
      </c>
      <c r="J123" s="29" t="str">
        <f ca="1">IFERROR(__xludf.DUMMYFUNCTION("""COMPUTED_VALUE"""),"")</f>
        <v/>
      </c>
      <c r="K123" s="29" t="str">
        <f ca="1">IFERROR(__xludf.DUMMYFUNCTION("""COMPUTED_VALUE"""),"")</f>
        <v/>
      </c>
      <c r="L123" s="29" t="str">
        <f ca="1">IFERROR(__xludf.DUMMYFUNCTION("""COMPUTED_VALUE"""),"")</f>
        <v/>
      </c>
      <c r="M123" s="29" t="str">
        <f ca="1">IFERROR(__xludf.DUMMYFUNCTION("""COMPUTED_VALUE"""),"")</f>
        <v/>
      </c>
      <c r="N123" s="29" t="str">
        <f ca="1">IFERROR(__xludf.DUMMYFUNCTION("""COMPUTED_VALUE"""),"")</f>
        <v/>
      </c>
    </row>
    <row r="124" spans="2:14" ht="12.5">
      <c r="B124" s="2"/>
      <c r="C124" s="2" t="str">
        <f ca="1">IFERROR(__xludf.DUMMYFUNCTION("""COMPUTED_VALUE"""),"")</f>
        <v/>
      </c>
      <c r="D124" s="2" t="str">
        <f ca="1">IFERROR(__xludf.DUMMYFUNCTION("""COMPUTED_VALUE"""),"")</f>
        <v/>
      </c>
      <c r="E124" s="29" t="str">
        <f ca="1">IFERROR(__xludf.DUMMYFUNCTION("""COMPUTED_VALUE"""),"")</f>
        <v/>
      </c>
      <c r="F124" s="30" t="str">
        <f ca="1">IFERROR(__xludf.DUMMYFUNCTION("""COMPUTED_VALUE"""),"")</f>
        <v/>
      </c>
      <c r="G124" s="29" t="str">
        <f ca="1">IFERROR(__xludf.DUMMYFUNCTION("""COMPUTED_VALUE"""),"")</f>
        <v/>
      </c>
      <c r="H124" s="30" t="str">
        <f ca="1">IFERROR(__xludf.DUMMYFUNCTION("""COMPUTED_VALUE"""),"")</f>
        <v/>
      </c>
      <c r="I124" s="29" t="str">
        <f ca="1">IFERROR(__xludf.DUMMYFUNCTION("""COMPUTED_VALUE"""),"")</f>
        <v/>
      </c>
      <c r="J124" s="29" t="str">
        <f ca="1">IFERROR(__xludf.DUMMYFUNCTION("""COMPUTED_VALUE"""),"")</f>
        <v/>
      </c>
      <c r="K124" s="29" t="str">
        <f ca="1">IFERROR(__xludf.DUMMYFUNCTION("""COMPUTED_VALUE"""),"")</f>
        <v/>
      </c>
      <c r="L124" s="29" t="str">
        <f ca="1">IFERROR(__xludf.DUMMYFUNCTION("""COMPUTED_VALUE"""),"")</f>
        <v/>
      </c>
      <c r="M124" s="29" t="str">
        <f ca="1">IFERROR(__xludf.DUMMYFUNCTION("""COMPUTED_VALUE"""),"")</f>
        <v/>
      </c>
      <c r="N124" s="29" t="str">
        <f ca="1">IFERROR(__xludf.DUMMYFUNCTION("""COMPUTED_VALUE"""),"")</f>
        <v/>
      </c>
    </row>
    <row r="125" spans="2:14" ht="12.5">
      <c r="B125" s="2"/>
      <c r="C125" s="2" t="str">
        <f ca="1">IFERROR(__xludf.DUMMYFUNCTION("""COMPUTED_VALUE"""),"")</f>
        <v/>
      </c>
      <c r="D125" s="2" t="str">
        <f ca="1">IFERROR(__xludf.DUMMYFUNCTION("""COMPUTED_VALUE"""),"")</f>
        <v/>
      </c>
      <c r="E125" s="29" t="str">
        <f ca="1">IFERROR(__xludf.DUMMYFUNCTION("""COMPUTED_VALUE"""),"")</f>
        <v/>
      </c>
      <c r="F125" s="30" t="str">
        <f ca="1">IFERROR(__xludf.DUMMYFUNCTION("""COMPUTED_VALUE"""),"")</f>
        <v/>
      </c>
      <c r="G125" s="29" t="str">
        <f ca="1">IFERROR(__xludf.DUMMYFUNCTION("""COMPUTED_VALUE"""),"")</f>
        <v/>
      </c>
      <c r="H125" s="30" t="str">
        <f ca="1">IFERROR(__xludf.DUMMYFUNCTION("""COMPUTED_VALUE"""),"")</f>
        <v/>
      </c>
      <c r="I125" s="29" t="str">
        <f ca="1">IFERROR(__xludf.DUMMYFUNCTION("""COMPUTED_VALUE"""),"")</f>
        <v/>
      </c>
      <c r="J125" s="29" t="str">
        <f ca="1">IFERROR(__xludf.DUMMYFUNCTION("""COMPUTED_VALUE"""),"")</f>
        <v/>
      </c>
      <c r="K125" s="29" t="str">
        <f ca="1">IFERROR(__xludf.DUMMYFUNCTION("""COMPUTED_VALUE"""),"")</f>
        <v/>
      </c>
      <c r="L125" s="29" t="str">
        <f ca="1">IFERROR(__xludf.DUMMYFUNCTION("""COMPUTED_VALUE"""),"")</f>
        <v/>
      </c>
      <c r="M125" s="29" t="str">
        <f ca="1">IFERROR(__xludf.DUMMYFUNCTION("""COMPUTED_VALUE"""),"")</f>
        <v/>
      </c>
      <c r="N125" s="29" t="str">
        <f ca="1">IFERROR(__xludf.DUMMYFUNCTION("""COMPUTED_VALUE"""),"")</f>
        <v/>
      </c>
    </row>
    <row r="126" spans="2:14" ht="12.5">
      <c r="B126" s="2"/>
      <c r="C126" s="2" t="str">
        <f ca="1">IFERROR(__xludf.DUMMYFUNCTION("""COMPUTED_VALUE"""),"")</f>
        <v/>
      </c>
      <c r="D126" s="2" t="str">
        <f ca="1">IFERROR(__xludf.DUMMYFUNCTION("""COMPUTED_VALUE"""),"")</f>
        <v/>
      </c>
      <c r="E126" s="29" t="str">
        <f ca="1">IFERROR(__xludf.DUMMYFUNCTION("""COMPUTED_VALUE"""),"")</f>
        <v/>
      </c>
      <c r="F126" s="30" t="str">
        <f ca="1">IFERROR(__xludf.DUMMYFUNCTION("""COMPUTED_VALUE"""),"")</f>
        <v/>
      </c>
      <c r="G126" s="29" t="str">
        <f ca="1">IFERROR(__xludf.DUMMYFUNCTION("""COMPUTED_VALUE"""),"")</f>
        <v/>
      </c>
      <c r="H126" s="30" t="str">
        <f ca="1">IFERROR(__xludf.DUMMYFUNCTION("""COMPUTED_VALUE"""),"")</f>
        <v/>
      </c>
      <c r="I126" s="29" t="str">
        <f ca="1">IFERROR(__xludf.DUMMYFUNCTION("""COMPUTED_VALUE"""),"")</f>
        <v/>
      </c>
      <c r="J126" s="29" t="str">
        <f ca="1">IFERROR(__xludf.DUMMYFUNCTION("""COMPUTED_VALUE"""),"")</f>
        <v/>
      </c>
      <c r="K126" s="29" t="str">
        <f ca="1">IFERROR(__xludf.DUMMYFUNCTION("""COMPUTED_VALUE"""),"")</f>
        <v/>
      </c>
      <c r="L126" s="29" t="str">
        <f ca="1">IFERROR(__xludf.DUMMYFUNCTION("""COMPUTED_VALUE"""),"")</f>
        <v/>
      </c>
      <c r="M126" s="29" t="str">
        <f ca="1">IFERROR(__xludf.DUMMYFUNCTION("""COMPUTED_VALUE"""),"")</f>
        <v/>
      </c>
      <c r="N126" s="29" t="str">
        <f ca="1">IFERROR(__xludf.DUMMYFUNCTION("""COMPUTED_VALUE"""),"")</f>
        <v/>
      </c>
    </row>
    <row r="127" spans="2:14" ht="12.5">
      <c r="B127" s="2"/>
      <c r="C127" s="2" t="str">
        <f ca="1">IFERROR(__xludf.DUMMYFUNCTION("""COMPUTED_VALUE"""),"")</f>
        <v/>
      </c>
      <c r="D127" s="2" t="str">
        <f ca="1">IFERROR(__xludf.DUMMYFUNCTION("""COMPUTED_VALUE"""),"")</f>
        <v/>
      </c>
      <c r="E127" s="29" t="str">
        <f ca="1">IFERROR(__xludf.DUMMYFUNCTION("""COMPUTED_VALUE"""),"")</f>
        <v/>
      </c>
      <c r="F127" s="30" t="str">
        <f ca="1">IFERROR(__xludf.DUMMYFUNCTION("""COMPUTED_VALUE"""),"")</f>
        <v/>
      </c>
      <c r="G127" s="29" t="str">
        <f ca="1">IFERROR(__xludf.DUMMYFUNCTION("""COMPUTED_VALUE"""),"")</f>
        <v/>
      </c>
      <c r="H127" s="30" t="str">
        <f ca="1">IFERROR(__xludf.DUMMYFUNCTION("""COMPUTED_VALUE"""),"")</f>
        <v/>
      </c>
      <c r="I127" s="29" t="str">
        <f ca="1">IFERROR(__xludf.DUMMYFUNCTION("""COMPUTED_VALUE"""),"")</f>
        <v/>
      </c>
      <c r="J127" s="29" t="str">
        <f ca="1">IFERROR(__xludf.DUMMYFUNCTION("""COMPUTED_VALUE"""),"")</f>
        <v/>
      </c>
      <c r="K127" s="29" t="str">
        <f ca="1">IFERROR(__xludf.DUMMYFUNCTION("""COMPUTED_VALUE"""),"")</f>
        <v/>
      </c>
      <c r="L127" s="29" t="str">
        <f ca="1">IFERROR(__xludf.DUMMYFUNCTION("""COMPUTED_VALUE"""),"")</f>
        <v/>
      </c>
      <c r="M127" s="29" t="str">
        <f ca="1">IFERROR(__xludf.DUMMYFUNCTION("""COMPUTED_VALUE"""),"")</f>
        <v/>
      </c>
      <c r="N127" s="29" t="str">
        <f ca="1">IFERROR(__xludf.DUMMYFUNCTION("""COMPUTED_VALUE"""),"")</f>
        <v/>
      </c>
    </row>
    <row r="128" spans="2:14" ht="12.5">
      <c r="B128" s="2"/>
      <c r="C128" s="2" t="str">
        <f ca="1">IFERROR(__xludf.DUMMYFUNCTION("""COMPUTED_VALUE"""),"")</f>
        <v/>
      </c>
      <c r="D128" s="2" t="str">
        <f ca="1">IFERROR(__xludf.DUMMYFUNCTION("""COMPUTED_VALUE"""),"")</f>
        <v/>
      </c>
      <c r="E128" s="29" t="str">
        <f ca="1">IFERROR(__xludf.DUMMYFUNCTION("""COMPUTED_VALUE"""),"")</f>
        <v/>
      </c>
      <c r="F128" s="30" t="str">
        <f ca="1">IFERROR(__xludf.DUMMYFUNCTION("""COMPUTED_VALUE"""),"")</f>
        <v/>
      </c>
      <c r="G128" s="29" t="str">
        <f ca="1">IFERROR(__xludf.DUMMYFUNCTION("""COMPUTED_VALUE"""),"")</f>
        <v/>
      </c>
      <c r="H128" s="30" t="str">
        <f ca="1">IFERROR(__xludf.DUMMYFUNCTION("""COMPUTED_VALUE"""),"")</f>
        <v/>
      </c>
      <c r="I128" s="29" t="str">
        <f ca="1">IFERROR(__xludf.DUMMYFUNCTION("""COMPUTED_VALUE"""),"")</f>
        <v/>
      </c>
      <c r="J128" s="29" t="str">
        <f ca="1">IFERROR(__xludf.DUMMYFUNCTION("""COMPUTED_VALUE"""),"")</f>
        <v/>
      </c>
      <c r="K128" s="29" t="str">
        <f ca="1">IFERROR(__xludf.DUMMYFUNCTION("""COMPUTED_VALUE"""),"")</f>
        <v/>
      </c>
      <c r="L128" s="29" t="str">
        <f ca="1">IFERROR(__xludf.DUMMYFUNCTION("""COMPUTED_VALUE"""),"")</f>
        <v/>
      </c>
      <c r="M128" s="29" t="str">
        <f ca="1">IFERROR(__xludf.DUMMYFUNCTION("""COMPUTED_VALUE"""),"")</f>
        <v/>
      </c>
      <c r="N128" s="29" t="str">
        <f ca="1">IFERROR(__xludf.DUMMYFUNCTION("""COMPUTED_VALUE"""),"")</f>
        <v/>
      </c>
    </row>
    <row r="129" spans="2:14" ht="12.5">
      <c r="B129" s="2"/>
      <c r="C129" s="2" t="str">
        <f ca="1">IFERROR(__xludf.DUMMYFUNCTION("""COMPUTED_VALUE"""),"")</f>
        <v/>
      </c>
      <c r="D129" s="2" t="str">
        <f ca="1">IFERROR(__xludf.DUMMYFUNCTION("""COMPUTED_VALUE"""),"")</f>
        <v/>
      </c>
      <c r="E129" s="29" t="str">
        <f ca="1">IFERROR(__xludf.DUMMYFUNCTION("""COMPUTED_VALUE"""),"")</f>
        <v/>
      </c>
      <c r="F129" s="30" t="str">
        <f ca="1">IFERROR(__xludf.DUMMYFUNCTION("""COMPUTED_VALUE"""),"")</f>
        <v/>
      </c>
      <c r="G129" s="29" t="str">
        <f ca="1">IFERROR(__xludf.DUMMYFUNCTION("""COMPUTED_VALUE"""),"")</f>
        <v/>
      </c>
      <c r="H129" s="30" t="str">
        <f ca="1">IFERROR(__xludf.DUMMYFUNCTION("""COMPUTED_VALUE"""),"")</f>
        <v/>
      </c>
      <c r="I129" s="29" t="str">
        <f ca="1">IFERROR(__xludf.DUMMYFUNCTION("""COMPUTED_VALUE"""),"")</f>
        <v/>
      </c>
      <c r="J129" s="29" t="str">
        <f ca="1">IFERROR(__xludf.DUMMYFUNCTION("""COMPUTED_VALUE"""),"")</f>
        <v/>
      </c>
      <c r="K129" s="29" t="str">
        <f ca="1">IFERROR(__xludf.DUMMYFUNCTION("""COMPUTED_VALUE"""),"")</f>
        <v/>
      </c>
      <c r="L129" s="29" t="str">
        <f ca="1">IFERROR(__xludf.DUMMYFUNCTION("""COMPUTED_VALUE"""),"")</f>
        <v/>
      </c>
      <c r="M129" s="29" t="str">
        <f ca="1">IFERROR(__xludf.DUMMYFUNCTION("""COMPUTED_VALUE"""),"")</f>
        <v/>
      </c>
      <c r="N129" s="29" t="str">
        <f ca="1">IFERROR(__xludf.DUMMYFUNCTION("""COMPUTED_VALUE"""),"")</f>
        <v/>
      </c>
    </row>
    <row r="130" spans="2:14" ht="12.5">
      <c r="B130" s="2"/>
      <c r="C130" s="2" t="str">
        <f ca="1">IFERROR(__xludf.DUMMYFUNCTION("""COMPUTED_VALUE"""),"")</f>
        <v/>
      </c>
      <c r="D130" s="2" t="str">
        <f ca="1">IFERROR(__xludf.DUMMYFUNCTION("""COMPUTED_VALUE"""),"")</f>
        <v/>
      </c>
      <c r="E130" s="29" t="str">
        <f ca="1">IFERROR(__xludf.DUMMYFUNCTION("""COMPUTED_VALUE"""),"")</f>
        <v/>
      </c>
      <c r="F130" s="30" t="str">
        <f ca="1">IFERROR(__xludf.DUMMYFUNCTION("""COMPUTED_VALUE"""),"")</f>
        <v/>
      </c>
      <c r="G130" s="29" t="str">
        <f ca="1">IFERROR(__xludf.DUMMYFUNCTION("""COMPUTED_VALUE"""),"")</f>
        <v/>
      </c>
      <c r="H130" s="30" t="str">
        <f ca="1">IFERROR(__xludf.DUMMYFUNCTION("""COMPUTED_VALUE"""),"")</f>
        <v/>
      </c>
      <c r="I130" s="29" t="str">
        <f ca="1">IFERROR(__xludf.DUMMYFUNCTION("""COMPUTED_VALUE"""),"")</f>
        <v/>
      </c>
      <c r="J130" s="29" t="str">
        <f ca="1">IFERROR(__xludf.DUMMYFUNCTION("""COMPUTED_VALUE"""),"")</f>
        <v/>
      </c>
      <c r="K130" s="29" t="str">
        <f ca="1">IFERROR(__xludf.DUMMYFUNCTION("""COMPUTED_VALUE"""),"")</f>
        <v/>
      </c>
      <c r="L130" s="29" t="str">
        <f ca="1">IFERROR(__xludf.DUMMYFUNCTION("""COMPUTED_VALUE"""),"")</f>
        <v/>
      </c>
      <c r="M130" s="29" t="str">
        <f ca="1">IFERROR(__xludf.DUMMYFUNCTION("""COMPUTED_VALUE"""),"")</f>
        <v/>
      </c>
      <c r="N130" s="29" t="str">
        <f ca="1">IFERROR(__xludf.DUMMYFUNCTION("""COMPUTED_VALUE"""),"")</f>
        <v/>
      </c>
    </row>
    <row r="131" spans="2:14" ht="12.5">
      <c r="B131" s="2"/>
      <c r="C131" s="2" t="str">
        <f ca="1">IFERROR(__xludf.DUMMYFUNCTION("""COMPUTED_VALUE"""),"")</f>
        <v/>
      </c>
      <c r="D131" s="2" t="str">
        <f ca="1">IFERROR(__xludf.DUMMYFUNCTION("""COMPUTED_VALUE"""),"")</f>
        <v/>
      </c>
      <c r="E131" s="29" t="str">
        <f ca="1">IFERROR(__xludf.DUMMYFUNCTION("""COMPUTED_VALUE"""),"")</f>
        <v/>
      </c>
      <c r="F131" s="30" t="str">
        <f ca="1">IFERROR(__xludf.DUMMYFUNCTION("""COMPUTED_VALUE"""),"")</f>
        <v/>
      </c>
      <c r="G131" s="29" t="str">
        <f ca="1">IFERROR(__xludf.DUMMYFUNCTION("""COMPUTED_VALUE"""),"")</f>
        <v/>
      </c>
      <c r="H131" s="30" t="str">
        <f ca="1">IFERROR(__xludf.DUMMYFUNCTION("""COMPUTED_VALUE"""),"")</f>
        <v/>
      </c>
      <c r="I131" s="29" t="str">
        <f ca="1">IFERROR(__xludf.DUMMYFUNCTION("""COMPUTED_VALUE"""),"")</f>
        <v/>
      </c>
      <c r="J131" s="29" t="str">
        <f ca="1">IFERROR(__xludf.DUMMYFUNCTION("""COMPUTED_VALUE"""),"")</f>
        <v/>
      </c>
      <c r="K131" s="29" t="str">
        <f ca="1">IFERROR(__xludf.DUMMYFUNCTION("""COMPUTED_VALUE"""),"")</f>
        <v/>
      </c>
      <c r="L131" s="29" t="str">
        <f ca="1">IFERROR(__xludf.DUMMYFUNCTION("""COMPUTED_VALUE"""),"")</f>
        <v/>
      </c>
      <c r="M131" s="29" t="str">
        <f ca="1">IFERROR(__xludf.DUMMYFUNCTION("""COMPUTED_VALUE"""),"")</f>
        <v/>
      </c>
      <c r="N131" s="29" t="str">
        <f ca="1">IFERROR(__xludf.DUMMYFUNCTION("""COMPUTED_VALUE"""),"")</f>
        <v/>
      </c>
    </row>
    <row r="132" spans="2:14" ht="12.5">
      <c r="B132" s="2"/>
      <c r="C132" s="2" t="str">
        <f ca="1">IFERROR(__xludf.DUMMYFUNCTION("""COMPUTED_VALUE"""),"")</f>
        <v/>
      </c>
      <c r="D132" s="2" t="str">
        <f ca="1">IFERROR(__xludf.DUMMYFUNCTION("""COMPUTED_VALUE"""),"")</f>
        <v/>
      </c>
      <c r="E132" s="29" t="str">
        <f ca="1">IFERROR(__xludf.DUMMYFUNCTION("""COMPUTED_VALUE"""),"")</f>
        <v/>
      </c>
      <c r="F132" s="30" t="str">
        <f ca="1">IFERROR(__xludf.DUMMYFUNCTION("""COMPUTED_VALUE"""),"")</f>
        <v/>
      </c>
      <c r="G132" s="29" t="str">
        <f ca="1">IFERROR(__xludf.DUMMYFUNCTION("""COMPUTED_VALUE"""),"")</f>
        <v/>
      </c>
      <c r="H132" s="30" t="str">
        <f ca="1">IFERROR(__xludf.DUMMYFUNCTION("""COMPUTED_VALUE"""),"")</f>
        <v/>
      </c>
      <c r="I132" s="29" t="str">
        <f ca="1">IFERROR(__xludf.DUMMYFUNCTION("""COMPUTED_VALUE"""),"")</f>
        <v/>
      </c>
      <c r="J132" s="29" t="str">
        <f ca="1">IFERROR(__xludf.DUMMYFUNCTION("""COMPUTED_VALUE"""),"")</f>
        <v/>
      </c>
      <c r="K132" s="29" t="str">
        <f ca="1">IFERROR(__xludf.DUMMYFUNCTION("""COMPUTED_VALUE"""),"")</f>
        <v/>
      </c>
      <c r="L132" s="29" t="str">
        <f ca="1">IFERROR(__xludf.DUMMYFUNCTION("""COMPUTED_VALUE"""),"")</f>
        <v/>
      </c>
      <c r="M132" s="29" t="str">
        <f ca="1">IFERROR(__xludf.DUMMYFUNCTION("""COMPUTED_VALUE"""),"")</f>
        <v/>
      </c>
      <c r="N132" s="29" t="str">
        <f ca="1">IFERROR(__xludf.DUMMYFUNCTION("""COMPUTED_VALUE"""),"")</f>
        <v/>
      </c>
    </row>
    <row r="133" spans="2:14" ht="12.5">
      <c r="B133" s="2"/>
      <c r="C133" s="2" t="str">
        <f ca="1">IFERROR(__xludf.DUMMYFUNCTION("""COMPUTED_VALUE"""),"")</f>
        <v/>
      </c>
      <c r="D133" s="2" t="str">
        <f ca="1">IFERROR(__xludf.DUMMYFUNCTION("""COMPUTED_VALUE"""),"")</f>
        <v/>
      </c>
      <c r="E133" s="29" t="str">
        <f ca="1">IFERROR(__xludf.DUMMYFUNCTION("""COMPUTED_VALUE"""),"")</f>
        <v/>
      </c>
      <c r="F133" s="30" t="str">
        <f ca="1">IFERROR(__xludf.DUMMYFUNCTION("""COMPUTED_VALUE"""),"")</f>
        <v/>
      </c>
      <c r="G133" s="29" t="str">
        <f ca="1">IFERROR(__xludf.DUMMYFUNCTION("""COMPUTED_VALUE"""),"")</f>
        <v/>
      </c>
      <c r="H133" s="30" t="str">
        <f ca="1">IFERROR(__xludf.DUMMYFUNCTION("""COMPUTED_VALUE"""),"")</f>
        <v/>
      </c>
      <c r="I133" s="29" t="str">
        <f ca="1">IFERROR(__xludf.DUMMYFUNCTION("""COMPUTED_VALUE"""),"")</f>
        <v/>
      </c>
      <c r="J133" s="29" t="str">
        <f ca="1">IFERROR(__xludf.DUMMYFUNCTION("""COMPUTED_VALUE"""),"")</f>
        <v/>
      </c>
      <c r="K133" s="29" t="str">
        <f ca="1">IFERROR(__xludf.DUMMYFUNCTION("""COMPUTED_VALUE"""),"")</f>
        <v/>
      </c>
      <c r="L133" s="29" t="str">
        <f ca="1">IFERROR(__xludf.DUMMYFUNCTION("""COMPUTED_VALUE"""),"")</f>
        <v/>
      </c>
      <c r="M133" s="29" t="str">
        <f ca="1">IFERROR(__xludf.DUMMYFUNCTION("""COMPUTED_VALUE"""),"")</f>
        <v/>
      </c>
      <c r="N133" s="29" t="str">
        <f ca="1">IFERROR(__xludf.DUMMYFUNCTION("""COMPUTED_VALUE"""),"")</f>
        <v/>
      </c>
    </row>
    <row r="134" spans="2:14" ht="12.5">
      <c r="B134" s="2"/>
      <c r="C134" s="2" t="str">
        <f ca="1">IFERROR(__xludf.DUMMYFUNCTION("""COMPUTED_VALUE"""),"")</f>
        <v/>
      </c>
      <c r="D134" s="2" t="str">
        <f ca="1">IFERROR(__xludf.DUMMYFUNCTION("""COMPUTED_VALUE"""),"")</f>
        <v/>
      </c>
      <c r="E134" s="29" t="str">
        <f ca="1">IFERROR(__xludf.DUMMYFUNCTION("""COMPUTED_VALUE"""),"")</f>
        <v/>
      </c>
      <c r="F134" s="30" t="str">
        <f ca="1">IFERROR(__xludf.DUMMYFUNCTION("""COMPUTED_VALUE"""),"")</f>
        <v/>
      </c>
      <c r="G134" s="29" t="str">
        <f ca="1">IFERROR(__xludf.DUMMYFUNCTION("""COMPUTED_VALUE"""),"")</f>
        <v/>
      </c>
      <c r="H134" s="30" t="str">
        <f ca="1">IFERROR(__xludf.DUMMYFUNCTION("""COMPUTED_VALUE"""),"")</f>
        <v/>
      </c>
      <c r="I134" s="29" t="str">
        <f ca="1">IFERROR(__xludf.DUMMYFUNCTION("""COMPUTED_VALUE"""),"")</f>
        <v/>
      </c>
      <c r="J134" s="29" t="str">
        <f ca="1">IFERROR(__xludf.DUMMYFUNCTION("""COMPUTED_VALUE"""),"")</f>
        <v/>
      </c>
      <c r="K134" s="29" t="str">
        <f ca="1">IFERROR(__xludf.DUMMYFUNCTION("""COMPUTED_VALUE"""),"")</f>
        <v/>
      </c>
      <c r="L134" s="29" t="str">
        <f ca="1">IFERROR(__xludf.DUMMYFUNCTION("""COMPUTED_VALUE"""),"")</f>
        <v/>
      </c>
      <c r="M134" s="29" t="str">
        <f ca="1">IFERROR(__xludf.DUMMYFUNCTION("""COMPUTED_VALUE"""),"")</f>
        <v/>
      </c>
      <c r="N134" s="29" t="str">
        <f ca="1">IFERROR(__xludf.DUMMYFUNCTION("""COMPUTED_VALUE"""),"")</f>
        <v/>
      </c>
    </row>
    <row r="135" spans="2:14" ht="12.5">
      <c r="B135" s="2"/>
      <c r="C135" s="2" t="str">
        <f ca="1">IFERROR(__xludf.DUMMYFUNCTION("""COMPUTED_VALUE"""),"")</f>
        <v/>
      </c>
      <c r="D135" s="2" t="str">
        <f ca="1">IFERROR(__xludf.DUMMYFUNCTION("""COMPUTED_VALUE"""),"")</f>
        <v/>
      </c>
      <c r="E135" s="29" t="str">
        <f ca="1">IFERROR(__xludf.DUMMYFUNCTION("""COMPUTED_VALUE"""),"")</f>
        <v/>
      </c>
      <c r="F135" s="30" t="str">
        <f ca="1">IFERROR(__xludf.DUMMYFUNCTION("""COMPUTED_VALUE"""),"")</f>
        <v/>
      </c>
      <c r="G135" s="29" t="str">
        <f ca="1">IFERROR(__xludf.DUMMYFUNCTION("""COMPUTED_VALUE"""),"")</f>
        <v/>
      </c>
      <c r="H135" s="30" t="str">
        <f ca="1">IFERROR(__xludf.DUMMYFUNCTION("""COMPUTED_VALUE"""),"")</f>
        <v/>
      </c>
      <c r="I135" s="29" t="str">
        <f ca="1">IFERROR(__xludf.DUMMYFUNCTION("""COMPUTED_VALUE"""),"")</f>
        <v/>
      </c>
      <c r="J135" s="29" t="str">
        <f ca="1">IFERROR(__xludf.DUMMYFUNCTION("""COMPUTED_VALUE"""),"")</f>
        <v/>
      </c>
      <c r="K135" s="29" t="str">
        <f ca="1">IFERROR(__xludf.DUMMYFUNCTION("""COMPUTED_VALUE"""),"")</f>
        <v/>
      </c>
      <c r="L135" s="29" t="str">
        <f ca="1">IFERROR(__xludf.DUMMYFUNCTION("""COMPUTED_VALUE"""),"")</f>
        <v/>
      </c>
      <c r="M135" s="29" t="str">
        <f ca="1">IFERROR(__xludf.DUMMYFUNCTION("""COMPUTED_VALUE"""),"")</f>
        <v/>
      </c>
      <c r="N135" s="29" t="str">
        <f ca="1">IFERROR(__xludf.DUMMYFUNCTION("""COMPUTED_VALUE"""),"")</f>
        <v/>
      </c>
    </row>
    <row r="136" spans="2:14" ht="12.5">
      <c r="B136" s="2"/>
      <c r="C136" s="2" t="str">
        <f ca="1">IFERROR(__xludf.DUMMYFUNCTION("""COMPUTED_VALUE"""),"")</f>
        <v/>
      </c>
      <c r="D136" s="2" t="str">
        <f ca="1">IFERROR(__xludf.DUMMYFUNCTION("""COMPUTED_VALUE"""),"")</f>
        <v/>
      </c>
      <c r="E136" s="29" t="str">
        <f ca="1">IFERROR(__xludf.DUMMYFUNCTION("""COMPUTED_VALUE"""),"")</f>
        <v/>
      </c>
      <c r="F136" s="30" t="str">
        <f ca="1">IFERROR(__xludf.DUMMYFUNCTION("""COMPUTED_VALUE"""),"")</f>
        <v/>
      </c>
      <c r="G136" s="29" t="str">
        <f ca="1">IFERROR(__xludf.DUMMYFUNCTION("""COMPUTED_VALUE"""),"")</f>
        <v/>
      </c>
      <c r="H136" s="30" t="str">
        <f ca="1">IFERROR(__xludf.DUMMYFUNCTION("""COMPUTED_VALUE"""),"")</f>
        <v/>
      </c>
      <c r="I136" s="29" t="str">
        <f ca="1">IFERROR(__xludf.DUMMYFUNCTION("""COMPUTED_VALUE"""),"")</f>
        <v/>
      </c>
      <c r="J136" s="29" t="str">
        <f ca="1">IFERROR(__xludf.DUMMYFUNCTION("""COMPUTED_VALUE"""),"")</f>
        <v/>
      </c>
      <c r="K136" s="29" t="str">
        <f ca="1">IFERROR(__xludf.DUMMYFUNCTION("""COMPUTED_VALUE"""),"")</f>
        <v/>
      </c>
      <c r="L136" s="29" t="str">
        <f ca="1">IFERROR(__xludf.DUMMYFUNCTION("""COMPUTED_VALUE"""),"")</f>
        <v/>
      </c>
      <c r="M136" s="29" t="str">
        <f ca="1">IFERROR(__xludf.DUMMYFUNCTION("""COMPUTED_VALUE"""),"")</f>
        <v/>
      </c>
      <c r="N136" s="29" t="str">
        <f ca="1">IFERROR(__xludf.DUMMYFUNCTION("""COMPUTED_VALUE"""),"")</f>
        <v/>
      </c>
    </row>
    <row r="137" spans="2:14" ht="12.5">
      <c r="B137" s="2"/>
      <c r="C137" s="2" t="str">
        <f ca="1">IFERROR(__xludf.DUMMYFUNCTION("""COMPUTED_VALUE"""),"")</f>
        <v/>
      </c>
      <c r="D137" s="2" t="str">
        <f ca="1">IFERROR(__xludf.DUMMYFUNCTION("""COMPUTED_VALUE"""),"")</f>
        <v/>
      </c>
      <c r="E137" s="29" t="str">
        <f ca="1">IFERROR(__xludf.DUMMYFUNCTION("""COMPUTED_VALUE"""),"")</f>
        <v/>
      </c>
      <c r="F137" s="30" t="str">
        <f ca="1">IFERROR(__xludf.DUMMYFUNCTION("""COMPUTED_VALUE"""),"")</f>
        <v/>
      </c>
      <c r="G137" s="29" t="str">
        <f ca="1">IFERROR(__xludf.DUMMYFUNCTION("""COMPUTED_VALUE"""),"")</f>
        <v/>
      </c>
      <c r="H137" s="30" t="str">
        <f ca="1">IFERROR(__xludf.DUMMYFUNCTION("""COMPUTED_VALUE"""),"")</f>
        <v/>
      </c>
      <c r="I137" s="29" t="str">
        <f ca="1">IFERROR(__xludf.DUMMYFUNCTION("""COMPUTED_VALUE"""),"")</f>
        <v/>
      </c>
      <c r="J137" s="29" t="str">
        <f ca="1">IFERROR(__xludf.DUMMYFUNCTION("""COMPUTED_VALUE"""),"")</f>
        <v/>
      </c>
      <c r="K137" s="29" t="str">
        <f ca="1">IFERROR(__xludf.DUMMYFUNCTION("""COMPUTED_VALUE"""),"")</f>
        <v/>
      </c>
      <c r="L137" s="29" t="str">
        <f ca="1">IFERROR(__xludf.DUMMYFUNCTION("""COMPUTED_VALUE"""),"")</f>
        <v/>
      </c>
      <c r="M137" s="29" t="str">
        <f ca="1">IFERROR(__xludf.DUMMYFUNCTION("""COMPUTED_VALUE"""),"")</f>
        <v/>
      </c>
      <c r="N137" s="29" t="str">
        <f ca="1">IFERROR(__xludf.DUMMYFUNCTION("""COMPUTED_VALUE"""),"")</f>
        <v/>
      </c>
    </row>
    <row r="138" spans="2:14" ht="12.5">
      <c r="B138" s="2"/>
      <c r="C138" s="2" t="str">
        <f ca="1">IFERROR(__xludf.DUMMYFUNCTION("""COMPUTED_VALUE"""),"")</f>
        <v/>
      </c>
      <c r="D138" s="2" t="str">
        <f ca="1">IFERROR(__xludf.DUMMYFUNCTION("""COMPUTED_VALUE"""),"")</f>
        <v/>
      </c>
      <c r="E138" s="29" t="str">
        <f ca="1">IFERROR(__xludf.DUMMYFUNCTION("""COMPUTED_VALUE"""),"")</f>
        <v/>
      </c>
      <c r="F138" s="30" t="str">
        <f ca="1">IFERROR(__xludf.DUMMYFUNCTION("""COMPUTED_VALUE"""),"")</f>
        <v/>
      </c>
      <c r="G138" s="29" t="str">
        <f ca="1">IFERROR(__xludf.DUMMYFUNCTION("""COMPUTED_VALUE"""),"")</f>
        <v/>
      </c>
      <c r="H138" s="30" t="str">
        <f ca="1">IFERROR(__xludf.DUMMYFUNCTION("""COMPUTED_VALUE"""),"")</f>
        <v/>
      </c>
      <c r="I138" s="29" t="str">
        <f ca="1">IFERROR(__xludf.DUMMYFUNCTION("""COMPUTED_VALUE"""),"")</f>
        <v/>
      </c>
      <c r="J138" s="29" t="str">
        <f ca="1">IFERROR(__xludf.DUMMYFUNCTION("""COMPUTED_VALUE"""),"")</f>
        <v/>
      </c>
      <c r="K138" s="29" t="str">
        <f ca="1">IFERROR(__xludf.DUMMYFUNCTION("""COMPUTED_VALUE"""),"")</f>
        <v/>
      </c>
      <c r="L138" s="29" t="str">
        <f ca="1">IFERROR(__xludf.DUMMYFUNCTION("""COMPUTED_VALUE"""),"")</f>
        <v/>
      </c>
      <c r="M138" s="29" t="str">
        <f ca="1">IFERROR(__xludf.DUMMYFUNCTION("""COMPUTED_VALUE"""),"")</f>
        <v/>
      </c>
      <c r="N138" s="29" t="str">
        <f ca="1">IFERROR(__xludf.DUMMYFUNCTION("""COMPUTED_VALUE"""),"")</f>
        <v/>
      </c>
    </row>
    <row r="139" spans="2:14" ht="12.5">
      <c r="B139" s="2"/>
      <c r="C139" s="2" t="str">
        <f ca="1">IFERROR(__xludf.DUMMYFUNCTION("""COMPUTED_VALUE"""),"")</f>
        <v/>
      </c>
      <c r="D139" s="2" t="str">
        <f ca="1">IFERROR(__xludf.DUMMYFUNCTION("""COMPUTED_VALUE"""),"")</f>
        <v/>
      </c>
      <c r="E139" s="29" t="str">
        <f ca="1">IFERROR(__xludf.DUMMYFUNCTION("""COMPUTED_VALUE"""),"")</f>
        <v/>
      </c>
      <c r="F139" s="30" t="str">
        <f ca="1">IFERROR(__xludf.DUMMYFUNCTION("""COMPUTED_VALUE"""),"")</f>
        <v/>
      </c>
      <c r="G139" s="29" t="str">
        <f ca="1">IFERROR(__xludf.DUMMYFUNCTION("""COMPUTED_VALUE"""),"")</f>
        <v/>
      </c>
      <c r="H139" s="30" t="str">
        <f ca="1">IFERROR(__xludf.DUMMYFUNCTION("""COMPUTED_VALUE"""),"")</f>
        <v/>
      </c>
      <c r="I139" s="29" t="str">
        <f ca="1">IFERROR(__xludf.DUMMYFUNCTION("""COMPUTED_VALUE"""),"")</f>
        <v/>
      </c>
      <c r="J139" s="29" t="str">
        <f ca="1">IFERROR(__xludf.DUMMYFUNCTION("""COMPUTED_VALUE"""),"")</f>
        <v/>
      </c>
      <c r="K139" s="29" t="str">
        <f ca="1">IFERROR(__xludf.DUMMYFUNCTION("""COMPUTED_VALUE"""),"")</f>
        <v/>
      </c>
      <c r="L139" s="29" t="str">
        <f ca="1">IFERROR(__xludf.DUMMYFUNCTION("""COMPUTED_VALUE"""),"")</f>
        <v/>
      </c>
      <c r="M139" s="29" t="str">
        <f ca="1">IFERROR(__xludf.DUMMYFUNCTION("""COMPUTED_VALUE"""),"")</f>
        <v/>
      </c>
      <c r="N139" s="29" t="str">
        <f ca="1">IFERROR(__xludf.DUMMYFUNCTION("""COMPUTED_VALUE"""),"")</f>
        <v/>
      </c>
    </row>
    <row r="140" spans="2:14" ht="12.5">
      <c r="B140" s="2"/>
      <c r="C140" s="2" t="str">
        <f ca="1">IFERROR(__xludf.DUMMYFUNCTION("""COMPUTED_VALUE"""),"")</f>
        <v/>
      </c>
      <c r="D140" s="2" t="str">
        <f ca="1">IFERROR(__xludf.DUMMYFUNCTION("""COMPUTED_VALUE"""),"")</f>
        <v/>
      </c>
      <c r="E140" s="29" t="str">
        <f ca="1">IFERROR(__xludf.DUMMYFUNCTION("""COMPUTED_VALUE"""),"")</f>
        <v/>
      </c>
      <c r="F140" s="30" t="str">
        <f ca="1">IFERROR(__xludf.DUMMYFUNCTION("""COMPUTED_VALUE"""),"")</f>
        <v/>
      </c>
      <c r="G140" s="29" t="str">
        <f ca="1">IFERROR(__xludf.DUMMYFUNCTION("""COMPUTED_VALUE"""),"")</f>
        <v/>
      </c>
      <c r="H140" s="30" t="str">
        <f ca="1">IFERROR(__xludf.DUMMYFUNCTION("""COMPUTED_VALUE"""),"")</f>
        <v/>
      </c>
      <c r="I140" s="29" t="str">
        <f ca="1">IFERROR(__xludf.DUMMYFUNCTION("""COMPUTED_VALUE"""),"")</f>
        <v/>
      </c>
      <c r="J140" s="29" t="str">
        <f ca="1">IFERROR(__xludf.DUMMYFUNCTION("""COMPUTED_VALUE"""),"")</f>
        <v/>
      </c>
      <c r="K140" s="29" t="str">
        <f ca="1">IFERROR(__xludf.DUMMYFUNCTION("""COMPUTED_VALUE"""),"")</f>
        <v/>
      </c>
      <c r="L140" s="29" t="str">
        <f ca="1">IFERROR(__xludf.DUMMYFUNCTION("""COMPUTED_VALUE"""),"")</f>
        <v/>
      </c>
      <c r="M140" s="29" t="str">
        <f ca="1">IFERROR(__xludf.DUMMYFUNCTION("""COMPUTED_VALUE"""),"")</f>
        <v/>
      </c>
      <c r="N140" s="29" t="str">
        <f ca="1">IFERROR(__xludf.DUMMYFUNCTION("""COMPUTED_VALUE"""),"")</f>
        <v/>
      </c>
    </row>
    <row r="141" spans="2:14" ht="12.5">
      <c r="B141" s="2"/>
      <c r="C141" s="2" t="str">
        <f ca="1">IFERROR(__xludf.DUMMYFUNCTION("""COMPUTED_VALUE"""),"")</f>
        <v/>
      </c>
      <c r="D141" s="2" t="str">
        <f ca="1">IFERROR(__xludf.DUMMYFUNCTION("""COMPUTED_VALUE"""),"")</f>
        <v/>
      </c>
      <c r="E141" s="29" t="str">
        <f ca="1">IFERROR(__xludf.DUMMYFUNCTION("""COMPUTED_VALUE"""),"")</f>
        <v/>
      </c>
      <c r="F141" s="30" t="str">
        <f ca="1">IFERROR(__xludf.DUMMYFUNCTION("""COMPUTED_VALUE"""),"")</f>
        <v/>
      </c>
      <c r="G141" s="29" t="str">
        <f ca="1">IFERROR(__xludf.DUMMYFUNCTION("""COMPUTED_VALUE"""),"")</f>
        <v/>
      </c>
      <c r="H141" s="30" t="str">
        <f ca="1">IFERROR(__xludf.DUMMYFUNCTION("""COMPUTED_VALUE"""),"")</f>
        <v/>
      </c>
      <c r="I141" s="29" t="str">
        <f ca="1">IFERROR(__xludf.DUMMYFUNCTION("""COMPUTED_VALUE"""),"")</f>
        <v/>
      </c>
      <c r="J141" s="29" t="str">
        <f ca="1">IFERROR(__xludf.DUMMYFUNCTION("""COMPUTED_VALUE"""),"")</f>
        <v/>
      </c>
      <c r="K141" s="29" t="str">
        <f ca="1">IFERROR(__xludf.DUMMYFUNCTION("""COMPUTED_VALUE"""),"")</f>
        <v/>
      </c>
      <c r="L141" s="29" t="str">
        <f ca="1">IFERROR(__xludf.DUMMYFUNCTION("""COMPUTED_VALUE"""),"")</f>
        <v/>
      </c>
      <c r="M141" s="29" t="str">
        <f ca="1">IFERROR(__xludf.DUMMYFUNCTION("""COMPUTED_VALUE"""),"")</f>
        <v/>
      </c>
      <c r="N141" s="29" t="str">
        <f ca="1">IFERROR(__xludf.DUMMYFUNCTION("""COMPUTED_VALUE"""),"")</f>
        <v/>
      </c>
    </row>
    <row r="142" spans="2:14" ht="12.5">
      <c r="B142" s="2"/>
      <c r="C142" s="2" t="str">
        <f ca="1">IFERROR(__xludf.DUMMYFUNCTION("""COMPUTED_VALUE"""),"")</f>
        <v/>
      </c>
      <c r="D142" s="2" t="str">
        <f ca="1">IFERROR(__xludf.DUMMYFUNCTION("""COMPUTED_VALUE"""),"")</f>
        <v/>
      </c>
      <c r="E142" s="29" t="str">
        <f ca="1">IFERROR(__xludf.DUMMYFUNCTION("""COMPUTED_VALUE"""),"")</f>
        <v/>
      </c>
      <c r="F142" s="30" t="str">
        <f ca="1">IFERROR(__xludf.DUMMYFUNCTION("""COMPUTED_VALUE"""),"")</f>
        <v/>
      </c>
      <c r="G142" s="29" t="str">
        <f ca="1">IFERROR(__xludf.DUMMYFUNCTION("""COMPUTED_VALUE"""),"")</f>
        <v/>
      </c>
      <c r="H142" s="30" t="str">
        <f ca="1">IFERROR(__xludf.DUMMYFUNCTION("""COMPUTED_VALUE"""),"")</f>
        <v/>
      </c>
      <c r="I142" s="29" t="str">
        <f ca="1">IFERROR(__xludf.DUMMYFUNCTION("""COMPUTED_VALUE"""),"")</f>
        <v/>
      </c>
      <c r="J142" s="29" t="str">
        <f ca="1">IFERROR(__xludf.DUMMYFUNCTION("""COMPUTED_VALUE"""),"")</f>
        <v/>
      </c>
      <c r="K142" s="29" t="str">
        <f ca="1">IFERROR(__xludf.DUMMYFUNCTION("""COMPUTED_VALUE"""),"")</f>
        <v/>
      </c>
      <c r="L142" s="29" t="str">
        <f ca="1">IFERROR(__xludf.DUMMYFUNCTION("""COMPUTED_VALUE"""),"")</f>
        <v/>
      </c>
      <c r="M142" s="29" t="str">
        <f ca="1">IFERROR(__xludf.DUMMYFUNCTION("""COMPUTED_VALUE"""),"")</f>
        <v/>
      </c>
      <c r="N142" s="29" t="str">
        <f ca="1">IFERROR(__xludf.DUMMYFUNCTION("""COMPUTED_VALUE"""),"")</f>
        <v/>
      </c>
    </row>
    <row r="143" spans="2:14" ht="12.5">
      <c r="B143" s="2"/>
      <c r="C143" s="2" t="str">
        <f ca="1">IFERROR(__xludf.DUMMYFUNCTION("""COMPUTED_VALUE"""),"")</f>
        <v/>
      </c>
      <c r="D143" s="2" t="str">
        <f ca="1">IFERROR(__xludf.DUMMYFUNCTION("""COMPUTED_VALUE"""),"")</f>
        <v/>
      </c>
      <c r="E143" s="29" t="str">
        <f ca="1">IFERROR(__xludf.DUMMYFUNCTION("""COMPUTED_VALUE"""),"")</f>
        <v/>
      </c>
      <c r="F143" s="30" t="str">
        <f ca="1">IFERROR(__xludf.DUMMYFUNCTION("""COMPUTED_VALUE"""),"")</f>
        <v/>
      </c>
      <c r="G143" s="29" t="str">
        <f ca="1">IFERROR(__xludf.DUMMYFUNCTION("""COMPUTED_VALUE"""),"")</f>
        <v/>
      </c>
      <c r="H143" s="30" t="str">
        <f ca="1">IFERROR(__xludf.DUMMYFUNCTION("""COMPUTED_VALUE"""),"")</f>
        <v/>
      </c>
      <c r="I143" s="29" t="str">
        <f ca="1">IFERROR(__xludf.DUMMYFUNCTION("""COMPUTED_VALUE"""),"")</f>
        <v/>
      </c>
      <c r="J143" s="29" t="str">
        <f ca="1">IFERROR(__xludf.DUMMYFUNCTION("""COMPUTED_VALUE"""),"")</f>
        <v/>
      </c>
      <c r="K143" s="29" t="str">
        <f ca="1">IFERROR(__xludf.DUMMYFUNCTION("""COMPUTED_VALUE"""),"")</f>
        <v/>
      </c>
      <c r="L143" s="29" t="str">
        <f ca="1">IFERROR(__xludf.DUMMYFUNCTION("""COMPUTED_VALUE"""),"")</f>
        <v/>
      </c>
      <c r="M143" s="29" t="str">
        <f ca="1">IFERROR(__xludf.DUMMYFUNCTION("""COMPUTED_VALUE"""),"")</f>
        <v/>
      </c>
      <c r="N143" s="29" t="str">
        <f ca="1">IFERROR(__xludf.DUMMYFUNCTION("""COMPUTED_VALUE"""),"")</f>
        <v/>
      </c>
    </row>
    <row r="144" spans="2:14" ht="12.5">
      <c r="B144" s="2"/>
      <c r="C144" s="2" t="str">
        <f ca="1">IFERROR(__xludf.DUMMYFUNCTION("""COMPUTED_VALUE"""),"")</f>
        <v/>
      </c>
      <c r="D144" s="2" t="str">
        <f ca="1">IFERROR(__xludf.DUMMYFUNCTION("""COMPUTED_VALUE"""),"")</f>
        <v/>
      </c>
      <c r="E144" s="29" t="str">
        <f ca="1">IFERROR(__xludf.DUMMYFUNCTION("""COMPUTED_VALUE"""),"")</f>
        <v/>
      </c>
      <c r="F144" s="30" t="str">
        <f ca="1">IFERROR(__xludf.DUMMYFUNCTION("""COMPUTED_VALUE"""),"")</f>
        <v/>
      </c>
      <c r="G144" s="29" t="str">
        <f ca="1">IFERROR(__xludf.DUMMYFUNCTION("""COMPUTED_VALUE"""),"")</f>
        <v/>
      </c>
      <c r="H144" s="30" t="str">
        <f ca="1">IFERROR(__xludf.DUMMYFUNCTION("""COMPUTED_VALUE"""),"")</f>
        <v/>
      </c>
      <c r="I144" s="29" t="str">
        <f ca="1">IFERROR(__xludf.DUMMYFUNCTION("""COMPUTED_VALUE"""),"")</f>
        <v/>
      </c>
      <c r="J144" s="29" t="str">
        <f ca="1">IFERROR(__xludf.DUMMYFUNCTION("""COMPUTED_VALUE"""),"")</f>
        <v/>
      </c>
      <c r="K144" s="29" t="str">
        <f ca="1">IFERROR(__xludf.DUMMYFUNCTION("""COMPUTED_VALUE"""),"")</f>
        <v/>
      </c>
      <c r="L144" s="29" t="str">
        <f ca="1">IFERROR(__xludf.DUMMYFUNCTION("""COMPUTED_VALUE"""),"")</f>
        <v/>
      </c>
      <c r="M144" s="29" t="str">
        <f ca="1">IFERROR(__xludf.DUMMYFUNCTION("""COMPUTED_VALUE"""),"")</f>
        <v/>
      </c>
      <c r="N144" s="29" t="str">
        <f ca="1">IFERROR(__xludf.DUMMYFUNCTION("""COMPUTED_VALUE"""),"")</f>
        <v/>
      </c>
    </row>
    <row r="145" spans="2:14" ht="12.5">
      <c r="B145" s="2"/>
      <c r="C145" s="2" t="str">
        <f ca="1">IFERROR(__xludf.DUMMYFUNCTION("""COMPUTED_VALUE"""),"")</f>
        <v/>
      </c>
      <c r="D145" s="2" t="str">
        <f ca="1">IFERROR(__xludf.DUMMYFUNCTION("""COMPUTED_VALUE"""),"")</f>
        <v/>
      </c>
      <c r="E145" s="29" t="str">
        <f ca="1">IFERROR(__xludf.DUMMYFUNCTION("""COMPUTED_VALUE"""),"")</f>
        <v/>
      </c>
      <c r="F145" s="30" t="str">
        <f ca="1">IFERROR(__xludf.DUMMYFUNCTION("""COMPUTED_VALUE"""),"")</f>
        <v/>
      </c>
      <c r="G145" s="29" t="str">
        <f ca="1">IFERROR(__xludf.DUMMYFUNCTION("""COMPUTED_VALUE"""),"")</f>
        <v/>
      </c>
      <c r="H145" s="30" t="str">
        <f ca="1">IFERROR(__xludf.DUMMYFUNCTION("""COMPUTED_VALUE"""),"")</f>
        <v/>
      </c>
      <c r="I145" s="29" t="str">
        <f ca="1">IFERROR(__xludf.DUMMYFUNCTION("""COMPUTED_VALUE"""),"")</f>
        <v/>
      </c>
      <c r="J145" s="29" t="str">
        <f ca="1">IFERROR(__xludf.DUMMYFUNCTION("""COMPUTED_VALUE"""),"")</f>
        <v/>
      </c>
      <c r="K145" s="29" t="str">
        <f ca="1">IFERROR(__xludf.DUMMYFUNCTION("""COMPUTED_VALUE"""),"")</f>
        <v/>
      </c>
      <c r="L145" s="29" t="str">
        <f ca="1">IFERROR(__xludf.DUMMYFUNCTION("""COMPUTED_VALUE"""),"")</f>
        <v/>
      </c>
      <c r="M145" s="29" t="str">
        <f ca="1">IFERROR(__xludf.DUMMYFUNCTION("""COMPUTED_VALUE"""),"")</f>
        <v/>
      </c>
      <c r="N145" s="29" t="str">
        <f ca="1">IFERROR(__xludf.DUMMYFUNCTION("""COMPUTED_VALUE"""),"")</f>
        <v/>
      </c>
    </row>
    <row r="146" spans="2:14" ht="12.5">
      <c r="B146" s="2"/>
      <c r="C146" s="2" t="str">
        <f ca="1">IFERROR(__xludf.DUMMYFUNCTION("""COMPUTED_VALUE"""),"")</f>
        <v/>
      </c>
      <c r="D146" s="2" t="str">
        <f ca="1">IFERROR(__xludf.DUMMYFUNCTION("""COMPUTED_VALUE"""),"")</f>
        <v/>
      </c>
      <c r="E146" s="29" t="str">
        <f ca="1">IFERROR(__xludf.DUMMYFUNCTION("""COMPUTED_VALUE"""),"")</f>
        <v/>
      </c>
      <c r="F146" s="30" t="str">
        <f ca="1">IFERROR(__xludf.DUMMYFUNCTION("""COMPUTED_VALUE"""),"")</f>
        <v/>
      </c>
      <c r="G146" s="29" t="str">
        <f ca="1">IFERROR(__xludf.DUMMYFUNCTION("""COMPUTED_VALUE"""),"")</f>
        <v/>
      </c>
      <c r="H146" s="30" t="str">
        <f ca="1">IFERROR(__xludf.DUMMYFUNCTION("""COMPUTED_VALUE"""),"")</f>
        <v/>
      </c>
      <c r="I146" s="29" t="str">
        <f ca="1">IFERROR(__xludf.DUMMYFUNCTION("""COMPUTED_VALUE"""),"")</f>
        <v/>
      </c>
      <c r="J146" s="29" t="str">
        <f ca="1">IFERROR(__xludf.DUMMYFUNCTION("""COMPUTED_VALUE"""),"")</f>
        <v/>
      </c>
      <c r="K146" s="29" t="str">
        <f ca="1">IFERROR(__xludf.DUMMYFUNCTION("""COMPUTED_VALUE"""),"")</f>
        <v/>
      </c>
      <c r="L146" s="29" t="str">
        <f ca="1">IFERROR(__xludf.DUMMYFUNCTION("""COMPUTED_VALUE"""),"")</f>
        <v/>
      </c>
      <c r="M146" s="29" t="str">
        <f ca="1">IFERROR(__xludf.DUMMYFUNCTION("""COMPUTED_VALUE"""),"")</f>
        <v/>
      </c>
      <c r="N146" s="29" t="str">
        <f ca="1">IFERROR(__xludf.DUMMYFUNCTION("""COMPUTED_VALUE"""),"")</f>
        <v/>
      </c>
    </row>
    <row r="147" spans="2:14" ht="12.5">
      <c r="B147" s="2"/>
      <c r="C147" s="2" t="str">
        <f ca="1">IFERROR(__xludf.DUMMYFUNCTION("""COMPUTED_VALUE"""),"")</f>
        <v/>
      </c>
      <c r="D147" s="2" t="str">
        <f ca="1">IFERROR(__xludf.DUMMYFUNCTION("""COMPUTED_VALUE"""),"")</f>
        <v/>
      </c>
      <c r="E147" s="29" t="str">
        <f ca="1">IFERROR(__xludf.DUMMYFUNCTION("""COMPUTED_VALUE"""),"")</f>
        <v/>
      </c>
      <c r="F147" s="30" t="str">
        <f ca="1">IFERROR(__xludf.DUMMYFUNCTION("""COMPUTED_VALUE"""),"")</f>
        <v/>
      </c>
      <c r="G147" s="29" t="str">
        <f ca="1">IFERROR(__xludf.DUMMYFUNCTION("""COMPUTED_VALUE"""),"")</f>
        <v/>
      </c>
      <c r="H147" s="30" t="str">
        <f ca="1">IFERROR(__xludf.DUMMYFUNCTION("""COMPUTED_VALUE"""),"")</f>
        <v/>
      </c>
      <c r="I147" s="29" t="str">
        <f ca="1">IFERROR(__xludf.DUMMYFUNCTION("""COMPUTED_VALUE"""),"")</f>
        <v/>
      </c>
      <c r="J147" s="29" t="str">
        <f ca="1">IFERROR(__xludf.DUMMYFUNCTION("""COMPUTED_VALUE"""),"")</f>
        <v/>
      </c>
      <c r="K147" s="29" t="str">
        <f ca="1">IFERROR(__xludf.DUMMYFUNCTION("""COMPUTED_VALUE"""),"")</f>
        <v/>
      </c>
      <c r="L147" s="29" t="str">
        <f ca="1">IFERROR(__xludf.DUMMYFUNCTION("""COMPUTED_VALUE"""),"")</f>
        <v/>
      </c>
      <c r="M147" s="29" t="str">
        <f ca="1">IFERROR(__xludf.DUMMYFUNCTION("""COMPUTED_VALUE"""),"")</f>
        <v/>
      </c>
      <c r="N147" s="29" t="str">
        <f ca="1">IFERROR(__xludf.DUMMYFUNCTION("""COMPUTED_VALUE"""),"")</f>
        <v/>
      </c>
    </row>
    <row r="148" spans="2:14" ht="12.5">
      <c r="B148" s="2"/>
      <c r="C148" s="2" t="str">
        <f ca="1">IFERROR(__xludf.DUMMYFUNCTION("""COMPUTED_VALUE"""),"")</f>
        <v/>
      </c>
      <c r="D148" s="2" t="str">
        <f ca="1">IFERROR(__xludf.DUMMYFUNCTION("""COMPUTED_VALUE"""),"")</f>
        <v/>
      </c>
      <c r="E148" s="29" t="str">
        <f ca="1">IFERROR(__xludf.DUMMYFUNCTION("""COMPUTED_VALUE"""),"")</f>
        <v/>
      </c>
      <c r="F148" s="30" t="str">
        <f ca="1">IFERROR(__xludf.DUMMYFUNCTION("""COMPUTED_VALUE"""),"")</f>
        <v/>
      </c>
      <c r="G148" s="29" t="str">
        <f ca="1">IFERROR(__xludf.DUMMYFUNCTION("""COMPUTED_VALUE"""),"")</f>
        <v/>
      </c>
      <c r="H148" s="30" t="str">
        <f ca="1">IFERROR(__xludf.DUMMYFUNCTION("""COMPUTED_VALUE"""),"")</f>
        <v/>
      </c>
      <c r="I148" s="29" t="str">
        <f ca="1">IFERROR(__xludf.DUMMYFUNCTION("""COMPUTED_VALUE"""),"")</f>
        <v/>
      </c>
      <c r="J148" s="29" t="str">
        <f ca="1">IFERROR(__xludf.DUMMYFUNCTION("""COMPUTED_VALUE"""),"")</f>
        <v/>
      </c>
      <c r="K148" s="29" t="str">
        <f ca="1">IFERROR(__xludf.DUMMYFUNCTION("""COMPUTED_VALUE"""),"")</f>
        <v/>
      </c>
      <c r="L148" s="29" t="str">
        <f ca="1">IFERROR(__xludf.DUMMYFUNCTION("""COMPUTED_VALUE"""),"")</f>
        <v/>
      </c>
      <c r="M148" s="29" t="str">
        <f ca="1">IFERROR(__xludf.DUMMYFUNCTION("""COMPUTED_VALUE"""),"")</f>
        <v/>
      </c>
      <c r="N148" s="29" t="str">
        <f ca="1">IFERROR(__xludf.DUMMYFUNCTION("""COMPUTED_VALUE"""),"")</f>
        <v/>
      </c>
    </row>
    <row r="149" spans="2:14" ht="12.5">
      <c r="B149" s="2"/>
      <c r="C149" s="2" t="str">
        <f ca="1">IFERROR(__xludf.DUMMYFUNCTION("""COMPUTED_VALUE"""),"")</f>
        <v/>
      </c>
      <c r="D149" s="2" t="str">
        <f ca="1">IFERROR(__xludf.DUMMYFUNCTION("""COMPUTED_VALUE"""),"")</f>
        <v/>
      </c>
      <c r="E149" s="29" t="str">
        <f ca="1">IFERROR(__xludf.DUMMYFUNCTION("""COMPUTED_VALUE"""),"")</f>
        <v/>
      </c>
      <c r="F149" s="30" t="str">
        <f ca="1">IFERROR(__xludf.DUMMYFUNCTION("""COMPUTED_VALUE"""),"")</f>
        <v/>
      </c>
      <c r="G149" s="29" t="str">
        <f ca="1">IFERROR(__xludf.DUMMYFUNCTION("""COMPUTED_VALUE"""),"")</f>
        <v/>
      </c>
      <c r="H149" s="30" t="str">
        <f ca="1">IFERROR(__xludf.DUMMYFUNCTION("""COMPUTED_VALUE"""),"")</f>
        <v/>
      </c>
      <c r="I149" s="29" t="str">
        <f ca="1">IFERROR(__xludf.DUMMYFUNCTION("""COMPUTED_VALUE"""),"")</f>
        <v/>
      </c>
      <c r="J149" s="29" t="str">
        <f ca="1">IFERROR(__xludf.DUMMYFUNCTION("""COMPUTED_VALUE"""),"")</f>
        <v/>
      </c>
      <c r="K149" s="29" t="str">
        <f ca="1">IFERROR(__xludf.DUMMYFUNCTION("""COMPUTED_VALUE"""),"")</f>
        <v/>
      </c>
      <c r="L149" s="29" t="str">
        <f ca="1">IFERROR(__xludf.DUMMYFUNCTION("""COMPUTED_VALUE"""),"")</f>
        <v/>
      </c>
      <c r="M149" s="29" t="str">
        <f ca="1">IFERROR(__xludf.DUMMYFUNCTION("""COMPUTED_VALUE"""),"")</f>
        <v/>
      </c>
      <c r="N149" s="29" t="str">
        <f ca="1">IFERROR(__xludf.DUMMYFUNCTION("""COMPUTED_VALUE"""),"")</f>
        <v/>
      </c>
    </row>
    <row r="150" spans="2:14" ht="12.5">
      <c r="B150" s="2"/>
      <c r="C150" s="2" t="str">
        <f ca="1">IFERROR(__xludf.DUMMYFUNCTION("""COMPUTED_VALUE"""),"")</f>
        <v/>
      </c>
      <c r="D150" s="2" t="str">
        <f ca="1">IFERROR(__xludf.DUMMYFUNCTION("""COMPUTED_VALUE"""),"")</f>
        <v/>
      </c>
      <c r="E150" s="29" t="str">
        <f ca="1">IFERROR(__xludf.DUMMYFUNCTION("""COMPUTED_VALUE"""),"")</f>
        <v/>
      </c>
      <c r="F150" s="30" t="str">
        <f ca="1">IFERROR(__xludf.DUMMYFUNCTION("""COMPUTED_VALUE"""),"")</f>
        <v/>
      </c>
      <c r="G150" s="29" t="str">
        <f ca="1">IFERROR(__xludf.DUMMYFUNCTION("""COMPUTED_VALUE"""),"")</f>
        <v/>
      </c>
      <c r="H150" s="30" t="str">
        <f ca="1">IFERROR(__xludf.DUMMYFUNCTION("""COMPUTED_VALUE"""),"")</f>
        <v/>
      </c>
      <c r="I150" s="29" t="str">
        <f ca="1">IFERROR(__xludf.DUMMYFUNCTION("""COMPUTED_VALUE"""),"")</f>
        <v/>
      </c>
      <c r="J150" s="29" t="str">
        <f ca="1">IFERROR(__xludf.DUMMYFUNCTION("""COMPUTED_VALUE"""),"")</f>
        <v/>
      </c>
      <c r="K150" s="29" t="str">
        <f ca="1">IFERROR(__xludf.DUMMYFUNCTION("""COMPUTED_VALUE"""),"")</f>
        <v/>
      </c>
      <c r="L150" s="29" t="str">
        <f ca="1">IFERROR(__xludf.DUMMYFUNCTION("""COMPUTED_VALUE"""),"")</f>
        <v/>
      </c>
      <c r="M150" s="29" t="str">
        <f ca="1">IFERROR(__xludf.DUMMYFUNCTION("""COMPUTED_VALUE"""),"")</f>
        <v/>
      </c>
      <c r="N150" s="29" t="str">
        <f ca="1">IFERROR(__xludf.DUMMYFUNCTION("""COMPUTED_VALUE"""),"")</f>
        <v/>
      </c>
    </row>
    <row r="151" spans="2:14" ht="12.5">
      <c r="B151" s="2"/>
      <c r="C151" s="2" t="str">
        <f ca="1">IFERROR(__xludf.DUMMYFUNCTION("""COMPUTED_VALUE"""),"")</f>
        <v/>
      </c>
      <c r="D151" s="2" t="str">
        <f ca="1">IFERROR(__xludf.DUMMYFUNCTION("""COMPUTED_VALUE"""),"")</f>
        <v/>
      </c>
      <c r="E151" s="29" t="str">
        <f ca="1">IFERROR(__xludf.DUMMYFUNCTION("""COMPUTED_VALUE"""),"")</f>
        <v/>
      </c>
      <c r="F151" s="30" t="str">
        <f ca="1">IFERROR(__xludf.DUMMYFUNCTION("""COMPUTED_VALUE"""),"")</f>
        <v/>
      </c>
      <c r="G151" s="29" t="str">
        <f ca="1">IFERROR(__xludf.DUMMYFUNCTION("""COMPUTED_VALUE"""),"")</f>
        <v/>
      </c>
      <c r="H151" s="30" t="str">
        <f ca="1">IFERROR(__xludf.DUMMYFUNCTION("""COMPUTED_VALUE"""),"")</f>
        <v/>
      </c>
      <c r="I151" s="29" t="str">
        <f ca="1">IFERROR(__xludf.DUMMYFUNCTION("""COMPUTED_VALUE"""),"")</f>
        <v/>
      </c>
      <c r="J151" s="29" t="str">
        <f ca="1">IFERROR(__xludf.DUMMYFUNCTION("""COMPUTED_VALUE"""),"")</f>
        <v/>
      </c>
      <c r="K151" s="29" t="str">
        <f ca="1">IFERROR(__xludf.DUMMYFUNCTION("""COMPUTED_VALUE"""),"")</f>
        <v/>
      </c>
      <c r="L151" s="29" t="str">
        <f ca="1">IFERROR(__xludf.DUMMYFUNCTION("""COMPUTED_VALUE"""),"")</f>
        <v/>
      </c>
      <c r="M151" s="29" t="str">
        <f ca="1">IFERROR(__xludf.DUMMYFUNCTION("""COMPUTED_VALUE"""),"")</f>
        <v/>
      </c>
      <c r="N151" s="29" t="str">
        <f ca="1">IFERROR(__xludf.DUMMYFUNCTION("""COMPUTED_VALUE"""),"")</f>
        <v/>
      </c>
    </row>
    <row r="152" spans="2:14" ht="12.5">
      <c r="B152" s="2"/>
      <c r="C152" s="2" t="str">
        <f ca="1">IFERROR(__xludf.DUMMYFUNCTION("""COMPUTED_VALUE"""),"")</f>
        <v/>
      </c>
      <c r="D152" s="2" t="str">
        <f ca="1">IFERROR(__xludf.DUMMYFUNCTION("""COMPUTED_VALUE"""),"")</f>
        <v/>
      </c>
      <c r="E152" s="29" t="str">
        <f ca="1">IFERROR(__xludf.DUMMYFUNCTION("""COMPUTED_VALUE"""),"")</f>
        <v/>
      </c>
      <c r="F152" s="30" t="str">
        <f ca="1">IFERROR(__xludf.DUMMYFUNCTION("""COMPUTED_VALUE"""),"")</f>
        <v/>
      </c>
      <c r="G152" s="29" t="str">
        <f ca="1">IFERROR(__xludf.DUMMYFUNCTION("""COMPUTED_VALUE"""),"")</f>
        <v/>
      </c>
      <c r="H152" s="30" t="str">
        <f ca="1">IFERROR(__xludf.DUMMYFUNCTION("""COMPUTED_VALUE"""),"")</f>
        <v/>
      </c>
      <c r="I152" s="29" t="str">
        <f ca="1">IFERROR(__xludf.DUMMYFUNCTION("""COMPUTED_VALUE"""),"")</f>
        <v/>
      </c>
      <c r="J152" s="29" t="str">
        <f ca="1">IFERROR(__xludf.DUMMYFUNCTION("""COMPUTED_VALUE"""),"")</f>
        <v/>
      </c>
      <c r="K152" s="29" t="str">
        <f ca="1">IFERROR(__xludf.DUMMYFUNCTION("""COMPUTED_VALUE"""),"")</f>
        <v/>
      </c>
      <c r="L152" s="29" t="str">
        <f ca="1">IFERROR(__xludf.DUMMYFUNCTION("""COMPUTED_VALUE"""),"")</f>
        <v/>
      </c>
      <c r="M152" s="29" t="str">
        <f ca="1">IFERROR(__xludf.DUMMYFUNCTION("""COMPUTED_VALUE"""),"")</f>
        <v/>
      </c>
      <c r="N152" s="29" t="str">
        <f ca="1">IFERROR(__xludf.DUMMYFUNCTION("""COMPUTED_VALUE"""),"")</f>
        <v/>
      </c>
    </row>
    <row r="153" spans="2:14" ht="12.5">
      <c r="B153" s="2"/>
      <c r="C153" s="2" t="str">
        <f ca="1">IFERROR(__xludf.DUMMYFUNCTION("""COMPUTED_VALUE"""),"")</f>
        <v/>
      </c>
      <c r="D153" s="2" t="str">
        <f ca="1">IFERROR(__xludf.DUMMYFUNCTION("""COMPUTED_VALUE"""),"")</f>
        <v/>
      </c>
      <c r="E153" s="29" t="str">
        <f ca="1">IFERROR(__xludf.DUMMYFUNCTION("""COMPUTED_VALUE"""),"")</f>
        <v/>
      </c>
      <c r="F153" s="30" t="str">
        <f ca="1">IFERROR(__xludf.DUMMYFUNCTION("""COMPUTED_VALUE"""),"")</f>
        <v/>
      </c>
      <c r="G153" s="29" t="str">
        <f ca="1">IFERROR(__xludf.DUMMYFUNCTION("""COMPUTED_VALUE"""),"")</f>
        <v/>
      </c>
      <c r="H153" s="30" t="str">
        <f ca="1">IFERROR(__xludf.DUMMYFUNCTION("""COMPUTED_VALUE"""),"")</f>
        <v/>
      </c>
      <c r="I153" s="29" t="str">
        <f ca="1">IFERROR(__xludf.DUMMYFUNCTION("""COMPUTED_VALUE"""),"")</f>
        <v/>
      </c>
      <c r="J153" s="29" t="str">
        <f ca="1">IFERROR(__xludf.DUMMYFUNCTION("""COMPUTED_VALUE"""),"")</f>
        <v/>
      </c>
      <c r="K153" s="29" t="str">
        <f ca="1">IFERROR(__xludf.DUMMYFUNCTION("""COMPUTED_VALUE"""),"")</f>
        <v/>
      </c>
      <c r="L153" s="29" t="str">
        <f ca="1">IFERROR(__xludf.DUMMYFUNCTION("""COMPUTED_VALUE"""),"")</f>
        <v/>
      </c>
      <c r="M153" s="29" t="str">
        <f ca="1">IFERROR(__xludf.DUMMYFUNCTION("""COMPUTED_VALUE"""),"")</f>
        <v/>
      </c>
      <c r="N153" s="29" t="str">
        <f ca="1">IFERROR(__xludf.DUMMYFUNCTION("""COMPUTED_VALUE"""),"")</f>
        <v/>
      </c>
    </row>
    <row r="154" spans="2:14" ht="12.5">
      <c r="B154" s="2"/>
      <c r="C154" s="2" t="str">
        <f ca="1">IFERROR(__xludf.DUMMYFUNCTION("""COMPUTED_VALUE"""),"")</f>
        <v/>
      </c>
      <c r="D154" s="2" t="str">
        <f ca="1">IFERROR(__xludf.DUMMYFUNCTION("""COMPUTED_VALUE"""),"")</f>
        <v/>
      </c>
      <c r="E154" s="29" t="str">
        <f ca="1">IFERROR(__xludf.DUMMYFUNCTION("""COMPUTED_VALUE"""),"")</f>
        <v/>
      </c>
      <c r="F154" s="30" t="str">
        <f ca="1">IFERROR(__xludf.DUMMYFUNCTION("""COMPUTED_VALUE"""),"")</f>
        <v/>
      </c>
      <c r="G154" s="29" t="str">
        <f ca="1">IFERROR(__xludf.DUMMYFUNCTION("""COMPUTED_VALUE"""),"")</f>
        <v/>
      </c>
      <c r="H154" s="30" t="str">
        <f ca="1">IFERROR(__xludf.DUMMYFUNCTION("""COMPUTED_VALUE"""),"")</f>
        <v/>
      </c>
      <c r="I154" s="29" t="str">
        <f ca="1">IFERROR(__xludf.DUMMYFUNCTION("""COMPUTED_VALUE"""),"")</f>
        <v/>
      </c>
      <c r="J154" s="29" t="str">
        <f ca="1">IFERROR(__xludf.DUMMYFUNCTION("""COMPUTED_VALUE"""),"")</f>
        <v/>
      </c>
      <c r="K154" s="29" t="str">
        <f ca="1">IFERROR(__xludf.DUMMYFUNCTION("""COMPUTED_VALUE"""),"")</f>
        <v/>
      </c>
      <c r="L154" s="29" t="str">
        <f ca="1">IFERROR(__xludf.DUMMYFUNCTION("""COMPUTED_VALUE"""),"")</f>
        <v/>
      </c>
      <c r="M154" s="29" t="str">
        <f ca="1">IFERROR(__xludf.DUMMYFUNCTION("""COMPUTED_VALUE"""),"")</f>
        <v/>
      </c>
      <c r="N154" s="29" t="str">
        <f ca="1">IFERROR(__xludf.DUMMYFUNCTION("""COMPUTED_VALUE"""),"")</f>
        <v/>
      </c>
    </row>
    <row r="155" spans="2:14" ht="12.5">
      <c r="B155" s="2"/>
      <c r="C155" s="2" t="str">
        <f ca="1">IFERROR(__xludf.DUMMYFUNCTION("""COMPUTED_VALUE"""),"")</f>
        <v/>
      </c>
      <c r="D155" s="2" t="str">
        <f ca="1">IFERROR(__xludf.DUMMYFUNCTION("""COMPUTED_VALUE"""),"")</f>
        <v/>
      </c>
      <c r="E155" s="29" t="str">
        <f ca="1">IFERROR(__xludf.DUMMYFUNCTION("""COMPUTED_VALUE"""),"")</f>
        <v/>
      </c>
      <c r="F155" s="30" t="str">
        <f ca="1">IFERROR(__xludf.DUMMYFUNCTION("""COMPUTED_VALUE"""),"")</f>
        <v/>
      </c>
      <c r="G155" s="29" t="str">
        <f ca="1">IFERROR(__xludf.DUMMYFUNCTION("""COMPUTED_VALUE"""),"")</f>
        <v/>
      </c>
      <c r="H155" s="30" t="str">
        <f ca="1">IFERROR(__xludf.DUMMYFUNCTION("""COMPUTED_VALUE"""),"")</f>
        <v/>
      </c>
      <c r="I155" s="29" t="str">
        <f ca="1">IFERROR(__xludf.DUMMYFUNCTION("""COMPUTED_VALUE"""),"")</f>
        <v/>
      </c>
      <c r="J155" s="29" t="str">
        <f ca="1">IFERROR(__xludf.DUMMYFUNCTION("""COMPUTED_VALUE"""),"")</f>
        <v/>
      </c>
      <c r="K155" s="29" t="str">
        <f ca="1">IFERROR(__xludf.DUMMYFUNCTION("""COMPUTED_VALUE"""),"")</f>
        <v/>
      </c>
      <c r="L155" s="29" t="str">
        <f ca="1">IFERROR(__xludf.DUMMYFUNCTION("""COMPUTED_VALUE"""),"")</f>
        <v/>
      </c>
      <c r="M155" s="29" t="str">
        <f ca="1">IFERROR(__xludf.DUMMYFUNCTION("""COMPUTED_VALUE"""),"")</f>
        <v/>
      </c>
      <c r="N155" s="29" t="str">
        <f ca="1">IFERROR(__xludf.DUMMYFUNCTION("""COMPUTED_VALUE"""),"")</f>
        <v/>
      </c>
    </row>
    <row r="156" spans="2:14" ht="12.5">
      <c r="B156" s="2"/>
      <c r="C156" s="2" t="str">
        <f ca="1">IFERROR(__xludf.DUMMYFUNCTION("""COMPUTED_VALUE"""),"")</f>
        <v/>
      </c>
      <c r="D156" s="2" t="str">
        <f ca="1">IFERROR(__xludf.DUMMYFUNCTION("""COMPUTED_VALUE"""),"")</f>
        <v/>
      </c>
      <c r="E156" s="29" t="str">
        <f ca="1">IFERROR(__xludf.DUMMYFUNCTION("""COMPUTED_VALUE"""),"")</f>
        <v/>
      </c>
      <c r="F156" s="30" t="str">
        <f ca="1">IFERROR(__xludf.DUMMYFUNCTION("""COMPUTED_VALUE"""),"")</f>
        <v/>
      </c>
      <c r="G156" s="29" t="str">
        <f ca="1">IFERROR(__xludf.DUMMYFUNCTION("""COMPUTED_VALUE"""),"")</f>
        <v/>
      </c>
      <c r="H156" s="30" t="str">
        <f ca="1">IFERROR(__xludf.DUMMYFUNCTION("""COMPUTED_VALUE"""),"")</f>
        <v/>
      </c>
      <c r="I156" s="29" t="str">
        <f ca="1">IFERROR(__xludf.DUMMYFUNCTION("""COMPUTED_VALUE"""),"")</f>
        <v/>
      </c>
      <c r="J156" s="29" t="str">
        <f ca="1">IFERROR(__xludf.DUMMYFUNCTION("""COMPUTED_VALUE"""),"")</f>
        <v/>
      </c>
      <c r="K156" s="29" t="str">
        <f ca="1">IFERROR(__xludf.DUMMYFUNCTION("""COMPUTED_VALUE"""),"")</f>
        <v/>
      </c>
      <c r="L156" s="29" t="str">
        <f ca="1">IFERROR(__xludf.DUMMYFUNCTION("""COMPUTED_VALUE"""),"")</f>
        <v/>
      </c>
      <c r="M156" s="29" t="str">
        <f ca="1">IFERROR(__xludf.DUMMYFUNCTION("""COMPUTED_VALUE"""),"")</f>
        <v/>
      </c>
      <c r="N156" s="29" t="str">
        <f ca="1">IFERROR(__xludf.DUMMYFUNCTION("""COMPUTED_VALUE"""),"")</f>
        <v/>
      </c>
    </row>
    <row r="157" spans="2:14" ht="12.5">
      <c r="B157" s="2"/>
      <c r="C157" s="2" t="str">
        <f ca="1">IFERROR(__xludf.DUMMYFUNCTION("""COMPUTED_VALUE"""),"")</f>
        <v/>
      </c>
      <c r="D157" s="2" t="str">
        <f ca="1">IFERROR(__xludf.DUMMYFUNCTION("""COMPUTED_VALUE"""),"")</f>
        <v/>
      </c>
      <c r="E157" s="29" t="str">
        <f ca="1">IFERROR(__xludf.DUMMYFUNCTION("""COMPUTED_VALUE"""),"")</f>
        <v/>
      </c>
      <c r="F157" s="30" t="str">
        <f ca="1">IFERROR(__xludf.DUMMYFUNCTION("""COMPUTED_VALUE"""),"")</f>
        <v/>
      </c>
      <c r="G157" s="29" t="str">
        <f ca="1">IFERROR(__xludf.DUMMYFUNCTION("""COMPUTED_VALUE"""),"")</f>
        <v/>
      </c>
      <c r="H157" s="30" t="str">
        <f ca="1">IFERROR(__xludf.DUMMYFUNCTION("""COMPUTED_VALUE"""),"")</f>
        <v/>
      </c>
      <c r="I157" s="29" t="str">
        <f ca="1">IFERROR(__xludf.DUMMYFUNCTION("""COMPUTED_VALUE"""),"")</f>
        <v/>
      </c>
      <c r="J157" s="29" t="str">
        <f ca="1">IFERROR(__xludf.DUMMYFUNCTION("""COMPUTED_VALUE"""),"")</f>
        <v/>
      </c>
      <c r="K157" s="29" t="str">
        <f ca="1">IFERROR(__xludf.DUMMYFUNCTION("""COMPUTED_VALUE"""),"")</f>
        <v/>
      </c>
      <c r="L157" s="29" t="str">
        <f ca="1">IFERROR(__xludf.DUMMYFUNCTION("""COMPUTED_VALUE"""),"")</f>
        <v/>
      </c>
      <c r="M157" s="29" t="str">
        <f ca="1">IFERROR(__xludf.DUMMYFUNCTION("""COMPUTED_VALUE"""),"")</f>
        <v/>
      </c>
      <c r="N157" s="29" t="str">
        <f ca="1">IFERROR(__xludf.DUMMYFUNCTION("""COMPUTED_VALUE"""),"")</f>
        <v/>
      </c>
    </row>
    <row r="158" spans="2:14" ht="12.5">
      <c r="B158" s="2"/>
      <c r="C158" s="2" t="str">
        <f ca="1">IFERROR(__xludf.DUMMYFUNCTION("""COMPUTED_VALUE"""),"")</f>
        <v/>
      </c>
      <c r="D158" s="2" t="str">
        <f ca="1">IFERROR(__xludf.DUMMYFUNCTION("""COMPUTED_VALUE"""),"")</f>
        <v/>
      </c>
      <c r="E158" s="29" t="str">
        <f ca="1">IFERROR(__xludf.DUMMYFUNCTION("""COMPUTED_VALUE"""),"")</f>
        <v/>
      </c>
      <c r="F158" s="30" t="str">
        <f ca="1">IFERROR(__xludf.DUMMYFUNCTION("""COMPUTED_VALUE"""),"")</f>
        <v/>
      </c>
      <c r="G158" s="29" t="str">
        <f ca="1">IFERROR(__xludf.DUMMYFUNCTION("""COMPUTED_VALUE"""),"")</f>
        <v/>
      </c>
      <c r="H158" s="30" t="str">
        <f ca="1">IFERROR(__xludf.DUMMYFUNCTION("""COMPUTED_VALUE"""),"")</f>
        <v/>
      </c>
      <c r="I158" s="29" t="str">
        <f ca="1">IFERROR(__xludf.DUMMYFUNCTION("""COMPUTED_VALUE"""),"")</f>
        <v/>
      </c>
      <c r="J158" s="29" t="str">
        <f ca="1">IFERROR(__xludf.DUMMYFUNCTION("""COMPUTED_VALUE"""),"")</f>
        <v/>
      </c>
      <c r="K158" s="29" t="str">
        <f ca="1">IFERROR(__xludf.DUMMYFUNCTION("""COMPUTED_VALUE"""),"")</f>
        <v/>
      </c>
      <c r="L158" s="29" t="str">
        <f ca="1">IFERROR(__xludf.DUMMYFUNCTION("""COMPUTED_VALUE"""),"")</f>
        <v/>
      </c>
      <c r="M158" s="29" t="str">
        <f ca="1">IFERROR(__xludf.DUMMYFUNCTION("""COMPUTED_VALUE"""),"")</f>
        <v/>
      </c>
      <c r="N158" s="29" t="str">
        <f ca="1">IFERROR(__xludf.DUMMYFUNCTION("""COMPUTED_VALUE"""),"")</f>
        <v/>
      </c>
    </row>
    <row r="159" spans="2:14" ht="12.5">
      <c r="B159" s="2"/>
      <c r="C159" s="2" t="str">
        <f ca="1">IFERROR(__xludf.DUMMYFUNCTION("""COMPUTED_VALUE"""),"")</f>
        <v/>
      </c>
      <c r="D159" s="2" t="str">
        <f ca="1">IFERROR(__xludf.DUMMYFUNCTION("""COMPUTED_VALUE"""),"")</f>
        <v/>
      </c>
      <c r="E159" s="29" t="str">
        <f ca="1">IFERROR(__xludf.DUMMYFUNCTION("""COMPUTED_VALUE"""),"")</f>
        <v/>
      </c>
      <c r="F159" s="30" t="str">
        <f ca="1">IFERROR(__xludf.DUMMYFUNCTION("""COMPUTED_VALUE"""),"")</f>
        <v/>
      </c>
      <c r="G159" s="29" t="str">
        <f ca="1">IFERROR(__xludf.DUMMYFUNCTION("""COMPUTED_VALUE"""),"")</f>
        <v/>
      </c>
      <c r="H159" s="30" t="str">
        <f ca="1">IFERROR(__xludf.DUMMYFUNCTION("""COMPUTED_VALUE"""),"")</f>
        <v/>
      </c>
      <c r="I159" s="29" t="str">
        <f ca="1">IFERROR(__xludf.DUMMYFUNCTION("""COMPUTED_VALUE"""),"")</f>
        <v/>
      </c>
      <c r="J159" s="29" t="str">
        <f ca="1">IFERROR(__xludf.DUMMYFUNCTION("""COMPUTED_VALUE"""),"")</f>
        <v/>
      </c>
      <c r="K159" s="29" t="str">
        <f ca="1">IFERROR(__xludf.DUMMYFUNCTION("""COMPUTED_VALUE"""),"")</f>
        <v/>
      </c>
      <c r="L159" s="29" t="str">
        <f ca="1">IFERROR(__xludf.DUMMYFUNCTION("""COMPUTED_VALUE"""),"")</f>
        <v/>
      </c>
      <c r="M159" s="29" t="str">
        <f ca="1">IFERROR(__xludf.DUMMYFUNCTION("""COMPUTED_VALUE"""),"")</f>
        <v/>
      </c>
      <c r="N159" s="29" t="str">
        <f ca="1">IFERROR(__xludf.DUMMYFUNCTION("""COMPUTED_VALUE"""),"")</f>
        <v/>
      </c>
    </row>
    <row r="160" spans="2:14" ht="12.5">
      <c r="B160" s="2"/>
      <c r="C160" s="2" t="str">
        <f ca="1">IFERROR(__xludf.DUMMYFUNCTION("""COMPUTED_VALUE"""),"")</f>
        <v/>
      </c>
      <c r="D160" s="2" t="str">
        <f ca="1">IFERROR(__xludf.DUMMYFUNCTION("""COMPUTED_VALUE"""),"")</f>
        <v/>
      </c>
      <c r="E160" s="29" t="str">
        <f ca="1">IFERROR(__xludf.DUMMYFUNCTION("""COMPUTED_VALUE"""),"")</f>
        <v/>
      </c>
      <c r="F160" s="30" t="str">
        <f ca="1">IFERROR(__xludf.DUMMYFUNCTION("""COMPUTED_VALUE"""),"")</f>
        <v/>
      </c>
      <c r="G160" s="29" t="str">
        <f ca="1">IFERROR(__xludf.DUMMYFUNCTION("""COMPUTED_VALUE"""),"")</f>
        <v/>
      </c>
      <c r="H160" s="30" t="str">
        <f ca="1">IFERROR(__xludf.DUMMYFUNCTION("""COMPUTED_VALUE"""),"")</f>
        <v/>
      </c>
      <c r="I160" s="29" t="str">
        <f ca="1">IFERROR(__xludf.DUMMYFUNCTION("""COMPUTED_VALUE"""),"")</f>
        <v/>
      </c>
      <c r="J160" s="29" t="str">
        <f ca="1">IFERROR(__xludf.DUMMYFUNCTION("""COMPUTED_VALUE"""),"")</f>
        <v/>
      </c>
      <c r="K160" s="29" t="str">
        <f ca="1">IFERROR(__xludf.DUMMYFUNCTION("""COMPUTED_VALUE"""),"")</f>
        <v/>
      </c>
      <c r="L160" s="29" t="str">
        <f ca="1">IFERROR(__xludf.DUMMYFUNCTION("""COMPUTED_VALUE"""),"")</f>
        <v/>
      </c>
      <c r="M160" s="29" t="str">
        <f ca="1">IFERROR(__xludf.DUMMYFUNCTION("""COMPUTED_VALUE"""),"")</f>
        <v/>
      </c>
      <c r="N160" s="29" t="str">
        <f ca="1">IFERROR(__xludf.DUMMYFUNCTION("""COMPUTED_VALUE"""),"")</f>
        <v/>
      </c>
    </row>
    <row r="161" spans="2:14" ht="12.5">
      <c r="B161" s="2"/>
      <c r="C161" s="2" t="str">
        <f ca="1">IFERROR(__xludf.DUMMYFUNCTION("""COMPUTED_VALUE"""),"")</f>
        <v/>
      </c>
      <c r="D161" s="2" t="str">
        <f ca="1">IFERROR(__xludf.DUMMYFUNCTION("""COMPUTED_VALUE"""),"")</f>
        <v/>
      </c>
      <c r="E161" s="29" t="str">
        <f ca="1">IFERROR(__xludf.DUMMYFUNCTION("""COMPUTED_VALUE"""),"")</f>
        <v/>
      </c>
      <c r="F161" s="30" t="str">
        <f ca="1">IFERROR(__xludf.DUMMYFUNCTION("""COMPUTED_VALUE"""),"")</f>
        <v/>
      </c>
      <c r="G161" s="29" t="str">
        <f ca="1">IFERROR(__xludf.DUMMYFUNCTION("""COMPUTED_VALUE"""),"")</f>
        <v/>
      </c>
      <c r="H161" s="30" t="str">
        <f ca="1">IFERROR(__xludf.DUMMYFUNCTION("""COMPUTED_VALUE"""),"")</f>
        <v/>
      </c>
      <c r="I161" s="29" t="str">
        <f ca="1">IFERROR(__xludf.DUMMYFUNCTION("""COMPUTED_VALUE"""),"")</f>
        <v/>
      </c>
      <c r="J161" s="29" t="str">
        <f ca="1">IFERROR(__xludf.DUMMYFUNCTION("""COMPUTED_VALUE"""),"")</f>
        <v/>
      </c>
      <c r="K161" s="29" t="str">
        <f ca="1">IFERROR(__xludf.DUMMYFUNCTION("""COMPUTED_VALUE"""),"")</f>
        <v/>
      </c>
      <c r="L161" s="29" t="str">
        <f ca="1">IFERROR(__xludf.DUMMYFUNCTION("""COMPUTED_VALUE"""),"")</f>
        <v/>
      </c>
      <c r="M161" s="29" t="str">
        <f ca="1">IFERROR(__xludf.DUMMYFUNCTION("""COMPUTED_VALUE"""),"")</f>
        <v/>
      </c>
      <c r="N161" s="29" t="str">
        <f ca="1">IFERROR(__xludf.DUMMYFUNCTION("""COMPUTED_VALUE"""),"")</f>
        <v/>
      </c>
    </row>
    <row r="162" spans="2:14" ht="12.5">
      <c r="B162" s="2"/>
      <c r="C162" s="2" t="str">
        <f ca="1">IFERROR(__xludf.DUMMYFUNCTION("""COMPUTED_VALUE"""),"")</f>
        <v/>
      </c>
      <c r="D162" s="2" t="str">
        <f ca="1">IFERROR(__xludf.DUMMYFUNCTION("""COMPUTED_VALUE"""),"")</f>
        <v/>
      </c>
      <c r="E162" s="29" t="str">
        <f ca="1">IFERROR(__xludf.DUMMYFUNCTION("""COMPUTED_VALUE"""),"")</f>
        <v/>
      </c>
      <c r="F162" s="30" t="str">
        <f ca="1">IFERROR(__xludf.DUMMYFUNCTION("""COMPUTED_VALUE"""),"")</f>
        <v/>
      </c>
      <c r="G162" s="29" t="str">
        <f ca="1">IFERROR(__xludf.DUMMYFUNCTION("""COMPUTED_VALUE"""),"")</f>
        <v/>
      </c>
      <c r="H162" s="30" t="str">
        <f ca="1">IFERROR(__xludf.DUMMYFUNCTION("""COMPUTED_VALUE"""),"")</f>
        <v/>
      </c>
      <c r="I162" s="29" t="str">
        <f ca="1">IFERROR(__xludf.DUMMYFUNCTION("""COMPUTED_VALUE"""),"")</f>
        <v/>
      </c>
      <c r="J162" s="29" t="str">
        <f ca="1">IFERROR(__xludf.DUMMYFUNCTION("""COMPUTED_VALUE"""),"")</f>
        <v/>
      </c>
      <c r="K162" s="29" t="str">
        <f ca="1">IFERROR(__xludf.DUMMYFUNCTION("""COMPUTED_VALUE"""),"")</f>
        <v/>
      </c>
      <c r="L162" s="29" t="str">
        <f ca="1">IFERROR(__xludf.DUMMYFUNCTION("""COMPUTED_VALUE"""),"")</f>
        <v/>
      </c>
      <c r="M162" s="29" t="str">
        <f ca="1">IFERROR(__xludf.DUMMYFUNCTION("""COMPUTED_VALUE"""),"")</f>
        <v/>
      </c>
      <c r="N162" s="29" t="str">
        <f ca="1">IFERROR(__xludf.DUMMYFUNCTION("""COMPUTED_VALUE"""),"")</f>
        <v/>
      </c>
    </row>
    <row r="163" spans="2:14" ht="12.5">
      <c r="B163" s="2"/>
      <c r="C163" s="2" t="str">
        <f ca="1">IFERROR(__xludf.DUMMYFUNCTION("""COMPUTED_VALUE"""),"")</f>
        <v/>
      </c>
      <c r="D163" s="2" t="str">
        <f ca="1">IFERROR(__xludf.DUMMYFUNCTION("""COMPUTED_VALUE"""),"")</f>
        <v/>
      </c>
      <c r="E163" s="29" t="str">
        <f ca="1">IFERROR(__xludf.DUMMYFUNCTION("""COMPUTED_VALUE"""),"")</f>
        <v/>
      </c>
      <c r="F163" s="30" t="str">
        <f ca="1">IFERROR(__xludf.DUMMYFUNCTION("""COMPUTED_VALUE"""),"")</f>
        <v/>
      </c>
      <c r="G163" s="29" t="str">
        <f ca="1">IFERROR(__xludf.DUMMYFUNCTION("""COMPUTED_VALUE"""),"")</f>
        <v/>
      </c>
      <c r="H163" s="30" t="str">
        <f ca="1">IFERROR(__xludf.DUMMYFUNCTION("""COMPUTED_VALUE"""),"")</f>
        <v/>
      </c>
      <c r="I163" s="29" t="str">
        <f ca="1">IFERROR(__xludf.DUMMYFUNCTION("""COMPUTED_VALUE"""),"")</f>
        <v/>
      </c>
      <c r="J163" s="29" t="str">
        <f ca="1">IFERROR(__xludf.DUMMYFUNCTION("""COMPUTED_VALUE"""),"")</f>
        <v/>
      </c>
      <c r="K163" s="29" t="str">
        <f ca="1">IFERROR(__xludf.DUMMYFUNCTION("""COMPUTED_VALUE"""),"")</f>
        <v/>
      </c>
      <c r="L163" s="29" t="str">
        <f ca="1">IFERROR(__xludf.DUMMYFUNCTION("""COMPUTED_VALUE"""),"")</f>
        <v/>
      </c>
      <c r="M163" s="29" t="str">
        <f ca="1">IFERROR(__xludf.DUMMYFUNCTION("""COMPUTED_VALUE"""),"")</f>
        <v/>
      </c>
      <c r="N163" s="29" t="str">
        <f ca="1">IFERROR(__xludf.DUMMYFUNCTION("""COMPUTED_VALUE"""),"")</f>
        <v/>
      </c>
    </row>
    <row r="164" spans="2:14" ht="12.5">
      <c r="B164" s="2"/>
      <c r="C164" s="2" t="str">
        <f ca="1">IFERROR(__xludf.DUMMYFUNCTION("""COMPUTED_VALUE"""),"")</f>
        <v/>
      </c>
      <c r="D164" s="2" t="str">
        <f ca="1">IFERROR(__xludf.DUMMYFUNCTION("""COMPUTED_VALUE"""),"")</f>
        <v/>
      </c>
      <c r="E164" s="29" t="str">
        <f ca="1">IFERROR(__xludf.DUMMYFUNCTION("""COMPUTED_VALUE"""),"")</f>
        <v/>
      </c>
      <c r="F164" s="30" t="str">
        <f ca="1">IFERROR(__xludf.DUMMYFUNCTION("""COMPUTED_VALUE"""),"")</f>
        <v/>
      </c>
      <c r="G164" s="29" t="str">
        <f ca="1">IFERROR(__xludf.DUMMYFUNCTION("""COMPUTED_VALUE"""),"")</f>
        <v/>
      </c>
      <c r="H164" s="30" t="str">
        <f ca="1">IFERROR(__xludf.DUMMYFUNCTION("""COMPUTED_VALUE"""),"")</f>
        <v/>
      </c>
      <c r="I164" s="29" t="str">
        <f ca="1">IFERROR(__xludf.DUMMYFUNCTION("""COMPUTED_VALUE"""),"")</f>
        <v/>
      </c>
      <c r="J164" s="29" t="str">
        <f ca="1">IFERROR(__xludf.DUMMYFUNCTION("""COMPUTED_VALUE"""),"")</f>
        <v/>
      </c>
      <c r="K164" s="29" t="str">
        <f ca="1">IFERROR(__xludf.DUMMYFUNCTION("""COMPUTED_VALUE"""),"")</f>
        <v/>
      </c>
      <c r="L164" s="29" t="str">
        <f ca="1">IFERROR(__xludf.DUMMYFUNCTION("""COMPUTED_VALUE"""),"")</f>
        <v/>
      </c>
      <c r="M164" s="29" t="str">
        <f ca="1">IFERROR(__xludf.DUMMYFUNCTION("""COMPUTED_VALUE"""),"")</f>
        <v/>
      </c>
      <c r="N164" s="29" t="str">
        <f ca="1">IFERROR(__xludf.DUMMYFUNCTION("""COMPUTED_VALUE"""),"")</f>
        <v/>
      </c>
    </row>
    <row r="165" spans="2:14" ht="12.5">
      <c r="B165" s="2"/>
      <c r="C165" s="2" t="str">
        <f ca="1">IFERROR(__xludf.DUMMYFUNCTION("""COMPUTED_VALUE"""),"")</f>
        <v/>
      </c>
      <c r="D165" s="2" t="str">
        <f ca="1">IFERROR(__xludf.DUMMYFUNCTION("""COMPUTED_VALUE"""),"")</f>
        <v/>
      </c>
      <c r="E165" s="29" t="str">
        <f ca="1">IFERROR(__xludf.DUMMYFUNCTION("""COMPUTED_VALUE"""),"")</f>
        <v/>
      </c>
      <c r="F165" s="30" t="str">
        <f ca="1">IFERROR(__xludf.DUMMYFUNCTION("""COMPUTED_VALUE"""),"")</f>
        <v/>
      </c>
      <c r="G165" s="29" t="str">
        <f ca="1">IFERROR(__xludf.DUMMYFUNCTION("""COMPUTED_VALUE"""),"")</f>
        <v/>
      </c>
      <c r="H165" s="30" t="str">
        <f ca="1">IFERROR(__xludf.DUMMYFUNCTION("""COMPUTED_VALUE"""),"")</f>
        <v/>
      </c>
      <c r="I165" s="29" t="str">
        <f ca="1">IFERROR(__xludf.DUMMYFUNCTION("""COMPUTED_VALUE"""),"")</f>
        <v/>
      </c>
      <c r="J165" s="29" t="str">
        <f ca="1">IFERROR(__xludf.DUMMYFUNCTION("""COMPUTED_VALUE"""),"")</f>
        <v/>
      </c>
      <c r="K165" s="29" t="str">
        <f ca="1">IFERROR(__xludf.DUMMYFUNCTION("""COMPUTED_VALUE"""),"")</f>
        <v/>
      </c>
      <c r="L165" s="29" t="str">
        <f ca="1">IFERROR(__xludf.DUMMYFUNCTION("""COMPUTED_VALUE"""),"")</f>
        <v/>
      </c>
      <c r="M165" s="29" t="str">
        <f ca="1">IFERROR(__xludf.DUMMYFUNCTION("""COMPUTED_VALUE"""),"")</f>
        <v/>
      </c>
      <c r="N165" s="29" t="str">
        <f ca="1">IFERROR(__xludf.DUMMYFUNCTION("""COMPUTED_VALUE"""),"")</f>
        <v/>
      </c>
    </row>
    <row r="166" spans="2:14" ht="12.5">
      <c r="B166" s="2"/>
      <c r="C166" s="2" t="str">
        <f ca="1">IFERROR(__xludf.DUMMYFUNCTION("""COMPUTED_VALUE"""),"")</f>
        <v/>
      </c>
      <c r="D166" s="2" t="str">
        <f ca="1">IFERROR(__xludf.DUMMYFUNCTION("""COMPUTED_VALUE"""),"")</f>
        <v/>
      </c>
      <c r="E166" s="29" t="str">
        <f ca="1">IFERROR(__xludf.DUMMYFUNCTION("""COMPUTED_VALUE"""),"")</f>
        <v/>
      </c>
      <c r="F166" s="30" t="str">
        <f ca="1">IFERROR(__xludf.DUMMYFUNCTION("""COMPUTED_VALUE"""),"")</f>
        <v/>
      </c>
      <c r="G166" s="29" t="str">
        <f ca="1">IFERROR(__xludf.DUMMYFUNCTION("""COMPUTED_VALUE"""),"")</f>
        <v/>
      </c>
      <c r="H166" s="30" t="str">
        <f ca="1">IFERROR(__xludf.DUMMYFUNCTION("""COMPUTED_VALUE"""),"")</f>
        <v/>
      </c>
      <c r="I166" s="29" t="str">
        <f ca="1">IFERROR(__xludf.DUMMYFUNCTION("""COMPUTED_VALUE"""),"")</f>
        <v/>
      </c>
      <c r="J166" s="29" t="str">
        <f ca="1">IFERROR(__xludf.DUMMYFUNCTION("""COMPUTED_VALUE"""),"")</f>
        <v/>
      </c>
      <c r="K166" s="29" t="str">
        <f ca="1">IFERROR(__xludf.DUMMYFUNCTION("""COMPUTED_VALUE"""),"")</f>
        <v/>
      </c>
      <c r="L166" s="29" t="str">
        <f ca="1">IFERROR(__xludf.DUMMYFUNCTION("""COMPUTED_VALUE"""),"")</f>
        <v/>
      </c>
      <c r="M166" s="29" t="str">
        <f ca="1">IFERROR(__xludf.DUMMYFUNCTION("""COMPUTED_VALUE"""),"")</f>
        <v/>
      </c>
      <c r="N166" s="29" t="str">
        <f ca="1">IFERROR(__xludf.DUMMYFUNCTION("""COMPUTED_VALUE"""),"")</f>
        <v/>
      </c>
    </row>
    <row r="167" spans="2:14" ht="12.5">
      <c r="B167" s="2"/>
      <c r="C167" s="2" t="str">
        <f ca="1">IFERROR(__xludf.DUMMYFUNCTION("""COMPUTED_VALUE"""),"")</f>
        <v/>
      </c>
      <c r="D167" s="2" t="str">
        <f ca="1">IFERROR(__xludf.DUMMYFUNCTION("""COMPUTED_VALUE"""),"")</f>
        <v/>
      </c>
      <c r="E167" s="29" t="str">
        <f ca="1">IFERROR(__xludf.DUMMYFUNCTION("""COMPUTED_VALUE"""),"")</f>
        <v/>
      </c>
      <c r="F167" s="30" t="str">
        <f ca="1">IFERROR(__xludf.DUMMYFUNCTION("""COMPUTED_VALUE"""),"")</f>
        <v/>
      </c>
      <c r="G167" s="29" t="str">
        <f ca="1">IFERROR(__xludf.DUMMYFUNCTION("""COMPUTED_VALUE"""),"")</f>
        <v/>
      </c>
      <c r="H167" s="30" t="str">
        <f ca="1">IFERROR(__xludf.DUMMYFUNCTION("""COMPUTED_VALUE"""),"")</f>
        <v/>
      </c>
      <c r="I167" s="29" t="str">
        <f ca="1">IFERROR(__xludf.DUMMYFUNCTION("""COMPUTED_VALUE"""),"")</f>
        <v/>
      </c>
      <c r="J167" s="29" t="str">
        <f ca="1">IFERROR(__xludf.DUMMYFUNCTION("""COMPUTED_VALUE"""),"")</f>
        <v/>
      </c>
      <c r="K167" s="29" t="str">
        <f ca="1">IFERROR(__xludf.DUMMYFUNCTION("""COMPUTED_VALUE"""),"")</f>
        <v/>
      </c>
      <c r="L167" s="29" t="str">
        <f ca="1">IFERROR(__xludf.DUMMYFUNCTION("""COMPUTED_VALUE"""),"")</f>
        <v/>
      </c>
      <c r="M167" s="29" t="str">
        <f ca="1">IFERROR(__xludf.DUMMYFUNCTION("""COMPUTED_VALUE"""),"")</f>
        <v/>
      </c>
      <c r="N167" s="29" t="str">
        <f ca="1">IFERROR(__xludf.DUMMYFUNCTION("""COMPUTED_VALUE"""),"")</f>
        <v/>
      </c>
    </row>
    <row r="168" spans="2:14" ht="12.5">
      <c r="B168" s="2"/>
      <c r="C168" s="2" t="str">
        <f ca="1">IFERROR(__xludf.DUMMYFUNCTION("""COMPUTED_VALUE"""),"")</f>
        <v/>
      </c>
      <c r="D168" s="2" t="str">
        <f ca="1">IFERROR(__xludf.DUMMYFUNCTION("""COMPUTED_VALUE"""),"")</f>
        <v/>
      </c>
      <c r="E168" s="29" t="str">
        <f ca="1">IFERROR(__xludf.DUMMYFUNCTION("""COMPUTED_VALUE"""),"")</f>
        <v/>
      </c>
      <c r="F168" s="30" t="str">
        <f ca="1">IFERROR(__xludf.DUMMYFUNCTION("""COMPUTED_VALUE"""),"")</f>
        <v/>
      </c>
      <c r="G168" s="29" t="str">
        <f ca="1">IFERROR(__xludf.DUMMYFUNCTION("""COMPUTED_VALUE"""),"")</f>
        <v/>
      </c>
      <c r="H168" s="30" t="str">
        <f ca="1">IFERROR(__xludf.DUMMYFUNCTION("""COMPUTED_VALUE"""),"")</f>
        <v/>
      </c>
      <c r="I168" s="29" t="str">
        <f ca="1">IFERROR(__xludf.DUMMYFUNCTION("""COMPUTED_VALUE"""),"")</f>
        <v/>
      </c>
      <c r="J168" s="29" t="str">
        <f ca="1">IFERROR(__xludf.DUMMYFUNCTION("""COMPUTED_VALUE"""),"")</f>
        <v/>
      </c>
      <c r="K168" s="29" t="str">
        <f ca="1">IFERROR(__xludf.DUMMYFUNCTION("""COMPUTED_VALUE"""),"")</f>
        <v/>
      </c>
      <c r="L168" s="29" t="str">
        <f ca="1">IFERROR(__xludf.DUMMYFUNCTION("""COMPUTED_VALUE"""),"")</f>
        <v/>
      </c>
      <c r="M168" s="29" t="str">
        <f ca="1">IFERROR(__xludf.DUMMYFUNCTION("""COMPUTED_VALUE"""),"")</f>
        <v/>
      </c>
      <c r="N168" s="29" t="str">
        <f ca="1">IFERROR(__xludf.DUMMYFUNCTION("""COMPUTED_VALUE"""),"")</f>
        <v/>
      </c>
    </row>
    <row r="169" spans="2:14" ht="12.5">
      <c r="B169" s="2"/>
      <c r="C169" s="2" t="str">
        <f ca="1">IFERROR(__xludf.DUMMYFUNCTION("""COMPUTED_VALUE"""),"")</f>
        <v/>
      </c>
      <c r="D169" s="2" t="str">
        <f ca="1">IFERROR(__xludf.DUMMYFUNCTION("""COMPUTED_VALUE"""),"")</f>
        <v/>
      </c>
      <c r="E169" s="29" t="str">
        <f ca="1">IFERROR(__xludf.DUMMYFUNCTION("""COMPUTED_VALUE"""),"")</f>
        <v/>
      </c>
      <c r="F169" s="30" t="str">
        <f ca="1">IFERROR(__xludf.DUMMYFUNCTION("""COMPUTED_VALUE"""),"")</f>
        <v/>
      </c>
      <c r="G169" s="29" t="str">
        <f ca="1">IFERROR(__xludf.DUMMYFUNCTION("""COMPUTED_VALUE"""),"")</f>
        <v/>
      </c>
      <c r="H169" s="30" t="str">
        <f ca="1">IFERROR(__xludf.DUMMYFUNCTION("""COMPUTED_VALUE"""),"")</f>
        <v/>
      </c>
      <c r="I169" s="29" t="str">
        <f ca="1">IFERROR(__xludf.DUMMYFUNCTION("""COMPUTED_VALUE"""),"")</f>
        <v/>
      </c>
      <c r="J169" s="29" t="str">
        <f ca="1">IFERROR(__xludf.DUMMYFUNCTION("""COMPUTED_VALUE"""),"")</f>
        <v/>
      </c>
      <c r="K169" s="29" t="str">
        <f ca="1">IFERROR(__xludf.DUMMYFUNCTION("""COMPUTED_VALUE"""),"")</f>
        <v/>
      </c>
      <c r="L169" s="29" t="str">
        <f ca="1">IFERROR(__xludf.DUMMYFUNCTION("""COMPUTED_VALUE"""),"")</f>
        <v/>
      </c>
      <c r="M169" s="29" t="str">
        <f ca="1">IFERROR(__xludf.DUMMYFUNCTION("""COMPUTED_VALUE"""),"")</f>
        <v/>
      </c>
      <c r="N169" s="29" t="str">
        <f ca="1">IFERROR(__xludf.DUMMYFUNCTION("""COMPUTED_VALUE"""),"")</f>
        <v/>
      </c>
    </row>
    <row r="170" spans="2:14" ht="12.5">
      <c r="B170" s="2"/>
      <c r="C170" s="2" t="str">
        <f ca="1">IFERROR(__xludf.DUMMYFUNCTION("""COMPUTED_VALUE"""),"")</f>
        <v/>
      </c>
      <c r="D170" s="2" t="str">
        <f ca="1">IFERROR(__xludf.DUMMYFUNCTION("""COMPUTED_VALUE"""),"")</f>
        <v/>
      </c>
      <c r="E170" s="29" t="str">
        <f ca="1">IFERROR(__xludf.DUMMYFUNCTION("""COMPUTED_VALUE"""),"")</f>
        <v/>
      </c>
      <c r="F170" s="30" t="str">
        <f ca="1">IFERROR(__xludf.DUMMYFUNCTION("""COMPUTED_VALUE"""),"")</f>
        <v/>
      </c>
      <c r="G170" s="29" t="str">
        <f ca="1">IFERROR(__xludf.DUMMYFUNCTION("""COMPUTED_VALUE"""),"")</f>
        <v/>
      </c>
      <c r="H170" s="30" t="str">
        <f ca="1">IFERROR(__xludf.DUMMYFUNCTION("""COMPUTED_VALUE"""),"")</f>
        <v/>
      </c>
      <c r="I170" s="29" t="str">
        <f ca="1">IFERROR(__xludf.DUMMYFUNCTION("""COMPUTED_VALUE"""),"")</f>
        <v/>
      </c>
      <c r="J170" s="29" t="str">
        <f ca="1">IFERROR(__xludf.DUMMYFUNCTION("""COMPUTED_VALUE"""),"")</f>
        <v/>
      </c>
      <c r="K170" s="29" t="str">
        <f ca="1">IFERROR(__xludf.DUMMYFUNCTION("""COMPUTED_VALUE"""),"")</f>
        <v/>
      </c>
      <c r="L170" s="29" t="str">
        <f ca="1">IFERROR(__xludf.DUMMYFUNCTION("""COMPUTED_VALUE"""),"")</f>
        <v/>
      </c>
      <c r="M170" s="29" t="str">
        <f ca="1">IFERROR(__xludf.DUMMYFUNCTION("""COMPUTED_VALUE"""),"")</f>
        <v/>
      </c>
      <c r="N170" s="29" t="str">
        <f ca="1">IFERROR(__xludf.DUMMYFUNCTION("""COMPUTED_VALUE"""),"")</f>
        <v/>
      </c>
    </row>
    <row r="171" spans="2:14" ht="12.5">
      <c r="B171" s="2"/>
      <c r="C171" s="2" t="str">
        <f ca="1">IFERROR(__xludf.DUMMYFUNCTION("""COMPUTED_VALUE"""),"")</f>
        <v/>
      </c>
      <c r="D171" s="2" t="str">
        <f ca="1">IFERROR(__xludf.DUMMYFUNCTION("""COMPUTED_VALUE"""),"")</f>
        <v/>
      </c>
      <c r="E171" s="29" t="str">
        <f ca="1">IFERROR(__xludf.DUMMYFUNCTION("""COMPUTED_VALUE"""),"")</f>
        <v/>
      </c>
      <c r="F171" s="30" t="str">
        <f ca="1">IFERROR(__xludf.DUMMYFUNCTION("""COMPUTED_VALUE"""),"")</f>
        <v/>
      </c>
      <c r="G171" s="29" t="str">
        <f ca="1">IFERROR(__xludf.DUMMYFUNCTION("""COMPUTED_VALUE"""),"")</f>
        <v/>
      </c>
      <c r="H171" s="30" t="str">
        <f ca="1">IFERROR(__xludf.DUMMYFUNCTION("""COMPUTED_VALUE"""),"")</f>
        <v/>
      </c>
      <c r="I171" s="29" t="str">
        <f ca="1">IFERROR(__xludf.DUMMYFUNCTION("""COMPUTED_VALUE"""),"")</f>
        <v/>
      </c>
      <c r="J171" s="29" t="str">
        <f ca="1">IFERROR(__xludf.DUMMYFUNCTION("""COMPUTED_VALUE"""),"")</f>
        <v/>
      </c>
      <c r="K171" s="29" t="str">
        <f ca="1">IFERROR(__xludf.DUMMYFUNCTION("""COMPUTED_VALUE"""),"")</f>
        <v/>
      </c>
      <c r="L171" s="29" t="str">
        <f ca="1">IFERROR(__xludf.DUMMYFUNCTION("""COMPUTED_VALUE"""),"")</f>
        <v/>
      </c>
      <c r="M171" s="29" t="str">
        <f ca="1">IFERROR(__xludf.DUMMYFUNCTION("""COMPUTED_VALUE"""),"")</f>
        <v/>
      </c>
      <c r="N171" s="29" t="str">
        <f ca="1">IFERROR(__xludf.DUMMYFUNCTION("""COMPUTED_VALUE"""),"")</f>
        <v/>
      </c>
    </row>
    <row r="172" spans="2:14" ht="12.5">
      <c r="B172" s="2"/>
      <c r="C172" s="2" t="str">
        <f ca="1">IFERROR(__xludf.DUMMYFUNCTION("""COMPUTED_VALUE"""),"")</f>
        <v/>
      </c>
      <c r="D172" s="2" t="str">
        <f ca="1">IFERROR(__xludf.DUMMYFUNCTION("""COMPUTED_VALUE"""),"")</f>
        <v/>
      </c>
      <c r="E172" s="29" t="str">
        <f ca="1">IFERROR(__xludf.DUMMYFUNCTION("""COMPUTED_VALUE"""),"")</f>
        <v/>
      </c>
      <c r="F172" s="30" t="str">
        <f ca="1">IFERROR(__xludf.DUMMYFUNCTION("""COMPUTED_VALUE"""),"")</f>
        <v/>
      </c>
      <c r="G172" s="29" t="str">
        <f ca="1">IFERROR(__xludf.DUMMYFUNCTION("""COMPUTED_VALUE"""),"")</f>
        <v/>
      </c>
      <c r="H172" s="30" t="str">
        <f ca="1">IFERROR(__xludf.DUMMYFUNCTION("""COMPUTED_VALUE"""),"")</f>
        <v/>
      </c>
      <c r="I172" s="29" t="str">
        <f ca="1">IFERROR(__xludf.DUMMYFUNCTION("""COMPUTED_VALUE"""),"")</f>
        <v/>
      </c>
      <c r="J172" s="29" t="str">
        <f ca="1">IFERROR(__xludf.DUMMYFUNCTION("""COMPUTED_VALUE"""),"")</f>
        <v/>
      </c>
      <c r="K172" s="29" t="str">
        <f ca="1">IFERROR(__xludf.DUMMYFUNCTION("""COMPUTED_VALUE"""),"")</f>
        <v/>
      </c>
      <c r="L172" s="29" t="str">
        <f ca="1">IFERROR(__xludf.DUMMYFUNCTION("""COMPUTED_VALUE"""),"")</f>
        <v/>
      </c>
      <c r="M172" s="29" t="str">
        <f ca="1">IFERROR(__xludf.DUMMYFUNCTION("""COMPUTED_VALUE"""),"")</f>
        <v/>
      </c>
      <c r="N172" s="29" t="str">
        <f ca="1">IFERROR(__xludf.DUMMYFUNCTION("""COMPUTED_VALUE"""),"")</f>
        <v/>
      </c>
    </row>
    <row r="173" spans="2:14" ht="12.5">
      <c r="B173" s="2"/>
      <c r="C173" s="2" t="str">
        <f ca="1">IFERROR(__xludf.DUMMYFUNCTION("""COMPUTED_VALUE"""),"")</f>
        <v/>
      </c>
      <c r="D173" s="2" t="str">
        <f ca="1">IFERROR(__xludf.DUMMYFUNCTION("""COMPUTED_VALUE"""),"")</f>
        <v/>
      </c>
      <c r="E173" s="29" t="str">
        <f ca="1">IFERROR(__xludf.DUMMYFUNCTION("""COMPUTED_VALUE"""),"")</f>
        <v/>
      </c>
      <c r="F173" s="30" t="str">
        <f ca="1">IFERROR(__xludf.DUMMYFUNCTION("""COMPUTED_VALUE"""),"")</f>
        <v/>
      </c>
      <c r="G173" s="29" t="str">
        <f ca="1">IFERROR(__xludf.DUMMYFUNCTION("""COMPUTED_VALUE"""),"")</f>
        <v/>
      </c>
      <c r="H173" s="30" t="str">
        <f ca="1">IFERROR(__xludf.DUMMYFUNCTION("""COMPUTED_VALUE"""),"")</f>
        <v/>
      </c>
      <c r="I173" s="29" t="str">
        <f ca="1">IFERROR(__xludf.DUMMYFUNCTION("""COMPUTED_VALUE"""),"")</f>
        <v/>
      </c>
      <c r="J173" s="29" t="str">
        <f ca="1">IFERROR(__xludf.DUMMYFUNCTION("""COMPUTED_VALUE"""),"")</f>
        <v/>
      </c>
      <c r="K173" s="29" t="str">
        <f ca="1">IFERROR(__xludf.DUMMYFUNCTION("""COMPUTED_VALUE"""),"")</f>
        <v/>
      </c>
      <c r="L173" s="29" t="str">
        <f ca="1">IFERROR(__xludf.DUMMYFUNCTION("""COMPUTED_VALUE"""),"")</f>
        <v/>
      </c>
      <c r="M173" s="29" t="str">
        <f ca="1">IFERROR(__xludf.DUMMYFUNCTION("""COMPUTED_VALUE"""),"")</f>
        <v/>
      </c>
      <c r="N173" s="29" t="str">
        <f ca="1">IFERROR(__xludf.DUMMYFUNCTION("""COMPUTED_VALUE"""),"")</f>
        <v/>
      </c>
    </row>
    <row r="174" spans="2:14" ht="12.5">
      <c r="B174" s="2"/>
      <c r="C174" s="2" t="str">
        <f ca="1">IFERROR(__xludf.DUMMYFUNCTION("""COMPUTED_VALUE"""),"")</f>
        <v/>
      </c>
      <c r="D174" s="2" t="str">
        <f ca="1">IFERROR(__xludf.DUMMYFUNCTION("""COMPUTED_VALUE"""),"")</f>
        <v/>
      </c>
      <c r="E174" s="29" t="str">
        <f ca="1">IFERROR(__xludf.DUMMYFUNCTION("""COMPUTED_VALUE"""),"")</f>
        <v/>
      </c>
      <c r="F174" s="30" t="str">
        <f ca="1">IFERROR(__xludf.DUMMYFUNCTION("""COMPUTED_VALUE"""),"")</f>
        <v/>
      </c>
      <c r="G174" s="29" t="str">
        <f ca="1">IFERROR(__xludf.DUMMYFUNCTION("""COMPUTED_VALUE"""),"")</f>
        <v/>
      </c>
      <c r="H174" s="30" t="str">
        <f ca="1">IFERROR(__xludf.DUMMYFUNCTION("""COMPUTED_VALUE"""),"")</f>
        <v/>
      </c>
      <c r="I174" s="29" t="str">
        <f ca="1">IFERROR(__xludf.DUMMYFUNCTION("""COMPUTED_VALUE"""),"")</f>
        <v/>
      </c>
      <c r="J174" s="29" t="str">
        <f ca="1">IFERROR(__xludf.DUMMYFUNCTION("""COMPUTED_VALUE"""),"")</f>
        <v/>
      </c>
      <c r="K174" s="29" t="str">
        <f ca="1">IFERROR(__xludf.DUMMYFUNCTION("""COMPUTED_VALUE"""),"")</f>
        <v/>
      </c>
      <c r="L174" s="29" t="str">
        <f ca="1">IFERROR(__xludf.DUMMYFUNCTION("""COMPUTED_VALUE"""),"")</f>
        <v/>
      </c>
      <c r="M174" s="29" t="str">
        <f ca="1">IFERROR(__xludf.DUMMYFUNCTION("""COMPUTED_VALUE"""),"")</f>
        <v/>
      </c>
      <c r="N174" s="29" t="str">
        <f ca="1">IFERROR(__xludf.DUMMYFUNCTION("""COMPUTED_VALUE"""),"")</f>
        <v/>
      </c>
    </row>
    <row r="175" spans="2:14" ht="12.5">
      <c r="B175" s="2"/>
      <c r="C175" s="2" t="str">
        <f ca="1">IFERROR(__xludf.DUMMYFUNCTION("""COMPUTED_VALUE"""),"")</f>
        <v/>
      </c>
      <c r="D175" s="2" t="str">
        <f ca="1">IFERROR(__xludf.DUMMYFUNCTION("""COMPUTED_VALUE"""),"")</f>
        <v/>
      </c>
      <c r="E175" s="29" t="str">
        <f ca="1">IFERROR(__xludf.DUMMYFUNCTION("""COMPUTED_VALUE"""),"")</f>
        <v/>
      </c>
      <c r="F175" s="30" t="str">
        <f ca="1">IFERROR(__xludf.DUMMYFUNCTION("""COMPUTED_VALUE"""),"")</f>
        <v/>
      </c>
      <c r="G175" s="29" t="str">
        <f ca="1">IFERROR(__xludf.DUMMYFUNCTION("""COMPUTED_VALUE"""),"")</f>
        <v/>
      </c>
      <c r="H175" s="30" t="str">
        <f ca="1">IFERROR(__xludf.DUMMYFUNCTION("""COMPUTED_VALUE"""),"")</f>
        <v/>
      </c>
      <c r="I175" s="29" t="str">
        <f ca="1">IFERROR(__xludf.DUMMYFUNCTION("""COMPUTED_VALUE"""),"")</f>
        <v/>
      </c>
      <c r="J175" s="29" t="str">
        <f ca="1">IFERROR(__xludf.DUMMYFUNCTION("""COMPUTED_VALUE"""),"")</f>
        <v/>
      </c>
      <c r="K175" s="29" t="str">
        <f ca="1">IFERROR(__xludf.DUMMYFUNCTION("""COMPUTED_VALUE"""),"")</f>
        <v/>
      </c>
      <c r="L175" s="29" t="str">
        <f ca="1">IFERROR(__xludf.DUMMYFUNCTION("""COMPUTED_VALUE"""),"")</f>
        <v/>
      </c>
      <c r="M175" s="29" t="str">
        <f ca="1">IFERROR(__xludf.DUMMYFUNCTION("""COMPUTED_VALUE"""),"")</f>
        <v/>
      </c>
      <c r="N175" s="29" t="str">
        <f ca="1">IFERROR(__xludf.DUMMYFUNCTION("""COMPUTED_VALUE"""),"")</f>
        <v/>
      </c>
    </row>
    <row r="176" spans="2:14" ht="12.5">
      <c r="B176" s="2"/>
      <c r="C176" s="2" t="str">
        <f ca="1">IFERROR(__xludf.DUMMYFUNCTION("""COMPUTED_VALUE"""),"")</f>
        <v/>
      </c>
      <c r="D176" s="2" t="str">
        <f ca="1">IFERROR(__xludf.DUMMYFUNCTION("""COMPUTED_VALUE"""),"")</f>
        <v/>
      </c>
      <c r="E176" s="29" t="str">
        <f ca="1">IFERROR(__xludf.DUMMYFUNCTION("""COMPUTED_VALUE"""),"")</f>
        <v/>
      </c>
      <c r="F176" s="30" t="str">
        <f ca="1">IFERROR(__xludf.DUMMYFUNCTION("""COMPUTED_VALUE"""),"")</f>
        <v/>
      </c>
      <c r="G176" s="29" t="str">
        <f ca="1">IFERROR(__xludf.DUMMYFUNCTION("""COMPUTED_VALUE"""),"")</f>
        <v/>
      </c>
      <c r="H176" s="30" t="str">
        <f ca="1">IFERROR(__xludf.DUMMYFUNCTION("""COMPUTED_VALUE"""),"")</f>
        <v/>
      </c>
      <c r="I176" s="29" t="str">
        <f ca="1">IFERROR(__xludf.DUMMYFUNCTION("""COMPUTED_VALUE"""),"")</f>
        <v/>
      </c>
      <c r="J176" s="29" t="str">
        <f ca="1">IFERROR(__xludf.DUMMYFUNCTION("""COMPUTED_VALUE"""),"")</f>
        <v/>
      </c>
      <c r="K176" s="29" t="str">
        <f ca="1">IFERROR(__xludf.DUMMYFUNCTION("""COMPUTED_VALUE"""),"")</f>
        <v/>
      </c>
      <c r="L176" s="29" t="str">
        <f ca="1">IFERROR(__xludf.DUMMYFUNCTION("""COMPUTED_VALUE"""),"")</f>
        <v/>
      </c>
      <c r="M176" s="29" t="str">
        <f ca="1">IFERROR(__xludf.DUMMYFUNCTION("""COMPUTED_VALUE"""),"")</f>
        <v/>
      </c>
      <c r="N176" s="29" t="str">
        <f ca="1">IFERROR(__xludf.DUMMYFUNCTION("""COMPUTED_VALUE"""),"")</f>
        <v/>
      </c>
    </row>
    <row r="177" spans="2:14" ht="12.5">
      <c r="B177" s="2"/>
      <c r="C177" s="2" t="str">
        <f ca="1">IFERROR(__xludf.DUMMYFUNCTION("""COMPUTED_VALUE"""),"")</f>
        <v/>
      </c>
      <c r="D177" s="2" t="str">
        <f ca="1">IFERROR(__xludf.DUMMYFUNCTION("""COMPUTED_VALUE"""),"")</f>
        <v/>
      </c>
      <c r="E177" s="29" t="str">
        <f ca="1">IFERROR(__xludf.DUMMYFUNCTION("""COMPUTED_VALUE"""),"")</f>
        <v/>
      </c>
      <c r="F177" s="30" t="str">
        <f ca="1">IFERROR(__xludf.DUMMYFUNCTION("""COMPUTED_VALUE"""),"")</f>
        <v/>
      </c>
      <c r="G177" s="29" t="str">
        <f ca="1">IFERROR(__xludf.DUMMYFUNCTION("""COMPUTED_VALUE"""),"")</f>
        <v/>
      </c>
      <c r="H177" s="30" t="str">
        <f ca="1">IFERROR(__xludf.DUMMYFUNCTION("""COMPUTED_VALUE"""),"")</f>
        <v/>
      </c>
      <c r="I177" s="29" t="str">
        <f ca="1">IFERROR(__xludf.DUMMYFUNCTION("""COMPUTED_VALUE"""),"")</f>
        <v/>
      </c>
      <c r="J177" s="29" t="str">
        <f ca="1">IFERROR(__xludf.DUMMYFUNCTION("""COMPUTED_VALUE"""),"")</f>
        <v/>
      </c>
      <c r="K177" s="29" t="str">
        <f ca="1">IFERROR(__xludf.DUMMYFUNCTION("""COMPUTED_VALUE"""),"")</f>
        <v/>
      </c>
      <c r="L177" s="29" t="str">
        <f ca="1">IFERROR(__xludf.DUMMYFUNCTION("""COMPUTED_VALUE"""),"")</f>
        <v/>
      </c>
      <c r="M177" s="29" t="str">
        <f ca="1">IFERROR(__xludf.DUMMYFUNCTION("""COMPUTED_VALUE"""),"")</f>
        <v/>
      </c>
      <c r="N177" s="29" t="str">
        <f ca="1">IFERROR(__xludf.DUMMYFUNCTION("""COMPUTED_VALUE"""),"")</f>
        <v/>
      </c>
    </row>
    <row r="178" spans="2:14" ht="12.5">
      <c r="B178" s="2"/>
      <c r="C178" s="2" t="str">
        <f ca="1">IFERROR(__xludf.DUMMYFUNCTION("""COMPUTED_VALUE"""),"")</f>
        <v/>
      </c>
      <c r="D178" s="2" t="str">
        <f ca="1">IFERROR(__xludf.DUMMYFUNCTION("""COMPUTED_VALUE"""),"")</f>
        <v/>
      </c>
      <c r="E178" s="29" t="str">
        <f ca="1">IFERROR(__xludf.DUMMYFUNCTION("""COMPUTED_VALUE"""),"")</f>
        <v/>
      </c>
      <c r="F178" s="30" t="str">
        <f ca="1">IFERROR(__xludf.DUMMYFUNCTION("""COMPUTED_VALUE"""),"")</f>
        <v/>
      </c>
      <c r="G178" s="29" t="str">
        <f ca="1">IFERROR(__xludf.DUMMYFUNCTION("""COMPUTED_VALUE"""),"")</f>
        <v/>
      </c>
      <c r="H178" s="30" t="str">
        <f ca="1">IFERROR(__xludf.DUMMYFUNCTION("""COMPUTED_VALUE"""),"")</f>
        <v/>
      </c>
      <c r="I178" s="29" t="str">
        <f ca="1">IFERROR(__xludf.DUMMYFUNCTION("""COMPUTED_VALUE"""),"")</f>
        <v/>
      </c>
      <c r="J178" s="29" t="str">
        <f ca="1">IFERROR(__xludf.DUMMYFUNCTION("""COMPUTED_VALUE"""),"")</f>
        <v/>
      </c>
      <c r="K178" s="29" t="str">
        <f ca="1">IFERROR(__xludf.DUMMYFUNCTION("""COMPUTED_VALUE"""),"")</f>
        <v/>
      </c>
      <c r="L178" s="29" t="str">
        <f ca="1">IFERROR(__xludf.DUMMYFUNCTION("""COMPUTED_VALUE"""),"")</f>
        <v/>
      </c>
      <c r="M178" s="29" t="str">
        <f ca="1">IFERROR(__xludf.DUMMYFUNCTION("""COMPUTED_VALUE"""),"")</f>
        <v/>
      </c>
      <c r="N178" s="29" t="str">
        <f ca="1">IFERROR(__xludf.DUMMYFUNCTION("""COMPUTED_VALUE"""),"")</f>
        <v/>
      </c>
    </row>
    <row r="179" spans="2:14" ht="12.5">
      <c r="B179" s="2"/>
      <c r="C179" s="2" t="str">
        <f ca="1">IFERROR(__xludf.DUMMYFUNCTION("""COMPUTED_VALUE"""),"")</f>
        <v/>
      </c>
      <c r="D179" s="2" t="str">
        <f ca="1">IFERROR(__xludf.DUMMYFUNCTION("""COMPUTED_VALUE"""),"")</f>
        <v/>
      </c>
      <c r="E179" s="29" t="str">
        <f ca="1">IFERROR(__xludf.DUMMYFUNCTION("""COMPUTED_VALUE"""),"")</f>
        <v/>
      </c>
      <c r="F179" s="30" t="str">
        <f ca="1">IFERROR(__xludf.DUMMYFUNCTION("""COMPUTED_VALUE"""),"")</f>
        <v/>
      </c>
      <c r="G179" s="29" t="str">
        <f ca="1">IFERROR(__xludf.DUMMYFUNCTION("""COMPUTED_VALUE"""),"")</f>
        <v/>
      </c>
      <c r="H179" s="30" t="str">
        <f ca="1">IFERROR(__xludf.DUMMYFUNCTION("""COMPUTED_VALUE"""),"")</f>
        <v/>
      </c>
      <c r="I179" s="29" t="str">
        <f ca="1">IFERROR(__xludf.DUMMYFUNCTION("""COMPUTED_VALUE"""),"")</f>
        <v/>
      </c>
      <c r="J179" s="29" t="str">
        <f ca="1">IFERROR(__xludf.DUMMYFUNCTION("""COMPUTED_VALUE"""),"")</f>
        <v/>
      </c>
      <c r="K179" s="29" t="str">
        <f ca="1">IFERROR(__xludf.DUMMYFUNCTION("""COMPUTED_VALUE"""),"")</f>
        <v/>
      </c>
      <c r="L179" s="29" t="str">
        <f ca="1">IFERROR(__xludf.DUMMYFUNCTION("""COMPUTED_VALUE"""),"")</f>
        <v/>
      </c>
      <c r="M179" s="29" t="str">
        <f ca="1">IFERROR(__xludf.DUMMYFUNCTION("""COMPUTED_VALUE"""),"")</f>
        <v/>
      </c>
      <c r="N179" s="29" t="str">
        <f ca="1">IFERROR(__xludf.DUMMYFUNCTION("""COMPUTED_VALUE"""),"")</f>
        <v/>
      </c>
    </row>
    <row r="180" spans="2:14" ht="12.5">
      <c r="B180" s="2"/>
      <c r="C180" s="2" t="str">
        <f ca="1">IFERROR(__xludf.DUMMYFUNCTION("""COMPUTED_VALUE"""),"")</f>
        <v/>
      </c>
      <c r="D180" s="2" t="str">
        <f ca="1">IFERROR(__xludf.DUMMYFUNCTION("""COMPUTED_VALUE"""),"")</f>
        <v/>
      </c>
      <c r="E180" s="29" t="str">
        <f ca="1">IFERROR(__xludf.DUMMYFUNCTION("""COMPUTED_VALUE"""),"")</f>
        <v/>
      </c>
      <c r="F180" s="30" t="str">
        <f ca="1">IFERROR(__xludf.DUMMYFUNCTION("""COMPUTED_VALUE"""),"")</f>
        <v/>
      </c>
      <c r="G180" s="29" t="str">
        <f ca="1">IFERROR(__xludf.DUMMYFUNCTION("""COMPUTED_VALUE"""),"")</f>
        <v/>
      </c>
      <c r="H180" s="30" t="str">
        <f ca="1">IFERROR(__xludf.DUMMYFUNCTION("""COMPUTED_VALUE"""),"")</f>
        <v/>
      </c>
      <c r="I180" s="29" t="str">
        <f ca="1">IFERROR(__xludf.DUMMYFUNCTION("""COMPUTED_VALUE"""),"")</f>
        <v/>
      </c>
      <c r="J180" s="29" t="str">
        <f ca="1">IFERROR(__xludf.DUMMYFUNCTION("""COMPUTED_VALUE"""),"")</f>
        <v/>
      </c>
      <c r="K180" s="29" t="str">
        <f ca="1">IFERROR(__xludf.DUMMYFUNCTION("""COMPUTED_VALUE"""),"")</f>
        <v/>
      </c>
      <c r="L180" s="29" t="str">
        <f ca="1">IFERROR(__xludf.DUMMYFUNCTION("""COMPUTED_VALUE"""),"")</f>
        <v/>
      </c>
      <c r="M180" s="29" t="str">
        <f ca="1">IFERROR(__xludf.DUMMYFUNCTION("""COMPUTED_VALUE"""),"")</f>
        <v/>
      </c>
      <c r="N180" s="29" t="str">
        <f ca="1">IFERROR(__xludf.DUMMYFUNCTION("""COMPUTED_VALUE"""),"")</f>
        <v/>
      </c>
    </row>
    <row r="181" spans="2:14" ht="12.5">
      <c r="B181" s="2"/>
      <c r="C181" s="2" t="str">
        <f ca="1">IFERROR(__xludf.DUMMYFUNCTION("""COMPUTED_VALUE"""),"")</f>
        <v/>
      </c>
      <c r="D181" s="2" t="str">
        <f ca="1">IFERROR(__xludf.DUMMYFUNCTION("""COMPUTED_VALUE"""),"")</f>
        <v/>
      </c>
      <c r="E181" s="29" t="str">
        <f ca="1">IFERROR(__xludf.DUMMYFUNCTION("""COMPUTED_VALUE"""),"")</f>
        <v/>
      </c>
      <c r="F181" s="30" t="str">
        <f ca="1">IFERROR(__xludf.DUMMYFUNCTION("""COMPUTED_VALUE"""),"")</f>
        <v/>
      </c>
      <c r="G181" s="29" t="str">
        <f ca="1">IFERROR(__xludf.DUMMYFUNCTION("""COMPUTED_VALUE"""),"")</f>
        <v/>
      </c>
      <c r="H181" s="30" t="str">
        <f ca="1">IFERROR(__xludf.DUMMYFUNCTION("""COMPUTED_VALUE"""),"")</f>
        <v/>
      </c>
      <c r="I181" s="29" t="str">
        <f ca="1">IFERROR(__xludf.DUMMYFUNCTION("""COMPUTED_VALUE"""),"")</f>
        <v/>
      </c>
      <c r="J181" s="29" t="str">
        <f ca="1">IFERROR(__xludf.DUMMYFUNCTION("""COMPUTED_VALUE"""),"")</f>
        <v/>
      </c>
      <c r="K181" s="29" t="str">
        <f ca="1">IFERROR(__xludf.DUMMYFUNCTION("""COMPUTED_VALUE"""),"")</f>
        <v/>
      </c>
      <c r="L181" s="29" t="str">
        <f ca="1">IFERROR(__xludf.DUMMYFUNCTION("""COMPUTED_VALUE"""),"")</f>
        <v/>
      </c>
      <c r="M181" s="29" t="str">
        <f ca="1">IFERROR(__xludf.DUMMYFUNCTION("""COMPUTED_VALUE"""),"")</f>
        <v/>
      </c>
      <c r="N181" s="29" t="str">
        <f ca="1">IFERROR(__xludf.DUMMYFUNCTION("""COMPUTED_VALUE"""),"")</f>
        <v/>
      </c>
    </row>
    <row r="182" spans="2:14" ht="12.5">
      <c r="B182" s="2"/>
      <c r="C182" s="2" t="str">
        <f ca="1">IFERROR(__xludf.DUMMYFUNCTION("""COMPUTED_VALUE"""),"")</f>
        <v/>
      </c>
      <c r="D182" s="2" t="str">
        <f ca="1">IFERROR(__xludf.DUMMYFUNCTION("""COMPUTED_VALUE"""),"")</f>
        <v/>
      </c>
      <c r="E182" s="29" t="str">
        <f ca="1">IFERROR(__xludf.DUMMYFUNCTION("""COMPUTED_VALUE"""),"")</f>
        <v/>
      </c>
      <c r="F182" s="30" t="str">
        <f ca="1">IFERROR(__xludf.DUMMYFUNCTION("""COMPUTED_VALUE"""),"")</f>
        <v/>
      </c>
      <c r="G182" s="29" t="str">
        <f ca="1">IFERROR(__xludf.DUMMYFUNCTION("""COMPUTED_VALUE"""),"")</f>
        <v/>
      </c>
      <c r="H182" s="30" t="str">
        <f ca="1">IFERROR(__xludf.DUMMYFUNCTION("""COMPUTED_VALUE"""),"")</f>
        <v/>
      </c>
      <c r="I182" s="29" t="str">
        <f ca="1">IFERROR(__xludf.DUMMYFUNCTION("""COMPUTED_VALUE"""),"")</f>
        <v/>
      </c>
      <c r="J182" s="29" t="str">
        <f ca="1">IFERROR(__xludf.DUMMYFUNCTION("""COMPUTED_VALUE"""),"")</f>
        <v/>
      </c>
      <c r="K182" s="29" t="str">
        <f ca="1">IFERROR(__xludf.DUMMYFUNCTION("""COMPUTED_VALUE"""),"")</f>
        <v/>
      </c>
      <c r="L182" s="29" t="str">
        <f ca="1">IFERROR(__xludf.DUMMYFUNCTION("""COMPUTED_VALUE"""),"")</f>
        <v/>
      </c>
      <c r="M182" s="29" t="str">
        <f ca="1">IFERROR(__xludf.DUMMYFUNCTION("""COMPUTED_VALUE"""),"")</f>
        <v/>
      </c>
      <c r="N182" s="29" t="str">
        <f ca="1">IFERROR(__xludf.DUMMYFUNCTION("""COMPUTED_VALUE"""),"")</f>
        <v/>
      </c>
    </row>
    <row r="183" spans="2:14" ht="12.5">
      <c r="B183" s="2"/>
      <c r="C183" s="2" t="str">
        <f ca="1">IFERROR(__xludf.DUMMYFUNCTION("""COMPUTED_VALUE"""),"")</f>
        <v/>
      </c>
      <c r="D183" s="2" t="str">
        <f ca="1">IFERROR(__xludf.DUMMYFUNCTION("""COMPUTED_VALUE"""),"")</f>
        <v/>
      </c>
      <c r="E183" s="29" t="str">
        <f ca="1">IFERROR(__xludf.DUMMYFUNCTION("""COMPUTED_VALUE"""),"")</f>
        <v/>
      </c>
      <c r="F183" s="30" t="str">
        <f ca="1">IFERROR(__xludf.DUMMYFUNCTION("""COMPUTED_VALUE"""),"")</f>
        <v/>
      </c>
      <c r="G183" s="29" t="str">
        <f ca="1">IFERROR(__xludf.DUMMYFUNCTION("""COMPUTED_VALUE"""),"")</f>
        <v/>
      </c>
      <c r="H183" s="30" t="str">
        <f ca="1">IFERROR(__xludf.DUMMYFUNCTION("""COMPUTED_VALUE"""),"")</f>
        <v/>
      </c>
      <c r="I183" s="29" t="str">
        <f ca="1">IFERROR(__xludf.DUMMYFUNCTION("""COMPUTED_VALUE"""),"")</f>
        <v/>
      </c>
      <c r="J183" s="29" t="str">
        <f ca="1">IFERROR(__xludf.DUMMYFUNCTION("""COMPUTED_VALUE"""),"")</f>
        <v/>
      </c>
      <c r="K183" s="29" t="str">
        <f ca="1">IFERROR(__xludf.DUMMYFUNCTION("""COMPUTED_VALUE"""),"")</f>
        <v/>
      </c>
      <c r="L183" s="29" t="str">
        <f ca="1">IFERROR(__xludf.DUMMYFUNCTION("""COMPUTED_VALUE"""),"")</f>
        <v/>
      </c>
      <c r="M183" s="29" t="str">
        <f ca="1">IFERROR(__xludf.DUMMYFUNCTION("""COMPUTED_VALUE"""),"")</f>
        <v/>
      </c>
      <c r="N183" s="29" t="str">
        <f ca="1">IFERROR(__xludf.DUMMYFUNCTION("""COMPUTED_VALUE"""),"")</f>
        <v/>
      </c>
    </row>
    <row r="184" spans="2:14" ht="12.5">
      <c r="B184" s="2"/>
      <c r="C184" s="2" t="str">
        <f ca="1">IFERROR(__xludf.DUMMYFUNCTION("""COMPUTED_VALUE"""),"")</f>
        <v/>
      </c>
      <c r="D184" s="2" t="str">
        <f ca="1">IFERROR(__xludf.DUMMYFUNCTION("""COMPUTED_VALUE"""),"")</f>
        <v/>
      </c>
      <c r="E184" s="29" t="str">
        <f ca="1">IFERROR(__xludf.DUMMYFUNCTION("""COMPUTED_VALUE"""),"")</f>
        <v/>
      </c>
      <c r="F184" s="30" t="str">
        <f ca="1">IFERROR(__xludf.DUMMYFUNCTION("""COMPUTED_VALUE"""),"")</f>
        <v/>
      </c>
      <c r="G184" s="29" t="str">
        <f ca="1">IFERROR(__xludf.DUMMYFUNCTION("""COMPUTED_VALUE"""),"")</f>
        <v/>
      </c>
      <c r="H184" s="30" t="str">
        <f ca="1">IFERROR(__xludf.DUMMYFUNCTION("""COMPUTED_VALUE"""),"")</f>
        <v/>
      </c>
      <c r="I184" s="29" t="str">
        <f ca="1">IFERROR(__xludf.DUMMYFUNCTION("""COMPUTED_VALUE"""),"")</f>
        <v/>
      </c>
      <c r="J184" s="29" t="str">
        <f ca="1">IFERROR(__xludf.DUMMYFUNCTION("""COMPUTED_VALUE"""),"")</f>
        <v/>
      </c>
      <c r="K184" s="29" t="str">
        <f ca="1">IFERROR(__xludf.DUMMYFUNCTION("""COMPUTED_VALUE"""),"")</f>
        <v/>
      </c>
      <c r="L184" s="29" t="str">
        <f ca="1">IFERROR(__xludf.DUMMYFUNCTION("""COMPUTED_VALUE"""),"")</f>
        <v/>
      </c>
      <c r="M184" s="29" t="str">
        <f ca="1">IFERROR(__xludf.DUMMYFUNCTION("""COMPUTED_VALUE"""),"")</f>
        <v/>
      </c>
      <c r="N184" s="29" t="str">
        <f ca="1">IFERROR(__xludf.DUMMYFUNCTION("""COMPUTED_VALUE"""),"")</f>
        <v/>
      </c>
    </row>
    <row r="185" spans="2:14" ht="12.5">
      <c r="B185" s="2"/>
      <c r="C185" s="2" t="str">
        <f ca="1">IFERROR(__xludf.DUMMYFUNCTION("""COMPUTED_VALUE"""),"")</f>
        <v/>
      </c>
      <c r="D185" s="2" t="str">
        <f ca="1">IFERROR(__xludf.DUMMYFUNCTION("""COMPUTED_VALUE"""),"")</f>
        <v/>
      </c>
      <c r="E185" s="29" t="str">
        <f ca="1">IFERROR(__xludf.DUMMYFUNCTION("""COMPUTED_VALUE"""),"")</f>
        <v/>
      </c>
      <c r="F185" s="30" t="str">
        <f ca="1">IFERROR(__xludf.DUMMYFUNCTION("""COMPUTED_VALUE"""),"")</f>
        <v/>
      </c>
      <c r="G185" s="29" t="str">
        <f ca="1">IFERROR(__xludf.DUMMYFUNCTION("""COMPUTED_VALUE"""),"")</f>
        <v/>
      </c>
      <c r="H185" s="30" t="str">
        <f ca="1">IFERROR(__xludf.DUMMYFUNCTION("""COMPUTED_VALUE"""),"")</f>
        <v/>
      </c>
      <c r="I185" s="29" t="str">
        <f ca="1">IFERROR(__xludf.DUMMYFUNCTION("""COMPUTED_VALUE"""),"")</f>
        <v/>
      </c>
      <c r="J185" s="29" t="str">
        <f ca="1">IFERROR(__xludf.DUMMYFUNCTION("""COMPUTED_VALUE"""),"")</f>
        <v/>
      </c>
      <c r="K185" s="29" t="str">
        <f ca="1">IFERROR(__xludf.DUMMYFUNCTION("""COMPUTED_VALUE"""),"")</f>
        <v/>
      </c>
      <c r="L185" s="29" t="str">
        <f ca="1">IFERROR(__xludf.DUMMYFUNCTION("""COMPUTED_VALUE"""),"")</f>
        <v/>
      </c>
      <c r="M185" s="29" t="str">
        <f ca="1">IFERROR(__xludf.DUMMYFUNCTION("""COMPUTED_VALUE"""),"")</f>
        <v/>
      </c>
      <c r="N185" s="29" t="str">
        <f ca="1">IFERROR(__xludf.DUMMYFUNCTION("""COMPUTED_VALUE"""),"")</f>
        <v/>
      </c>
    </row>
    <row r="186" spans="2:14" ht="12.5">
      <c r="B186" s="2"/>
      <c r="C186" s="2" t="str">
        <f ca="1">IFERROR(__xludf.DUMMYFUNCTION("""COMPUTED_VALUE"""),"")</f>
        <v/>
      </c>
      <c r="D186" s="2" t="str">
        <f ca="1">IFERROR(__xludf.DUMMYFUNCTION("""COMPUTED_VALUE"""),"")</f>
        <v/>
      </c>
      <c r="E186" s="29" t="str">
        <f ca="1">IFERROR(__xludf.DUMMYFUNCTION("""COMPUTED_VALUE"""),"")</f>
        <v/>
      </c>
      <c r="F186" s="30" t="str">
        <f ca="1">IFERROR(__xludf.DUMMYFUNCTION("""COMPUTED_VALUE"""),"")</f>
        <v/>
      </c>
      <c r="G186" s="29" t="str">
        <f ca="1">IFERROR(__xludf.DUMMYFUNCTION("""COMPUTED_VALUE"""),"")</f>
        <v/>
      </c>
      <c r="H186" s="30" t="str">
        <f ca="1">IFERROR(__xludf.DUMMYFUNCTION("""COMPUTED_VALUE"""),"")</f>
        <v/>
      </c>
      <c r="I186" s="29" t="str">
        <f ca="1">IFERROR(__xludf.DUMMYFUNCTION("""COMPUTED_VALUE"""),"")</f>
        <v/>
      </c>
      <c r="J186" s="29" t="str">
        <f ca="1">IFERROR(__xludf.DUMMYFUNCTION("""COMPUTED_VALUE"""),"")</f>
        <v/>
      </c>
      <c r="K186" s="29" t="str">
        <f ca="1">IFERROR(__xludf.DUMMYFUNCTION("""COMPUTED_VALUE"""),"")</f>
        <v/>
      </c>
      <c r="L186" s="29" t="str">
        <f ca="1">IFERROR(__xludf.DUMMYFUNCTION("""COMPUTED_VALUE"""),"")</f>
        <v/>
      </c>
      <c r="M186" s="29" t="str">
        <f ca="1">IFERROR(__xludf.DUMMYFUNCTION("""COMPUTED_VALUE"""),"")</f>
        <v/>
      </c>
      <c r="N186" s="29" t="str">
        <f ca="1">IFERROR(__xludf.DUMMYFUNCTION("""COMPUTED_VALUE"""),"")</f>
        <v/>
      </c>
    </row>
    <row r="187" spans="2:14" ht="12.5">
      <c r="B187" s="2"/>
      <c r="C187" s="2" t="str">
        <f ca="1">IFERROR(__xludf.DUMMYFUNCTION("""COMPUTED_VALUE"""),"")</f>
        <v/>
      </c>
      <c r="D187" s="2" t="str">
        <f ca="1">IFERROR(__xludf.DUMMYFUNCTION("""COMPUTED_VALUE"""),"")</f>
        <v/>
      </c>
      <c r="E187" s="29" t="str">
        <f ca="1">IFERROR(__xludf.DUMMYFUNCTION("""COMPUTED_VALUE"""),"")</f>
        <v/>
      </c>
      <c r="F187" s="30" t="str">
        <f ca="1">IFERROR(__xludf.DUMMYFUNCTION("""COMPUTED_VALUE"""),"")</f>
        <v/>
      </c>
      <c r="G187" s="29" t="str">
        <f ca="1">IFERROR(__xludf.DUMMYFUNCTION("""COMPUTED_VALUE"""),"")</f>
        <v/>
      </c>
      <c r="H187" s="30" t="str">
        <f ca="1">IFERROR(__xludf.DUMMYFUNCTION("""COMPUTED_VALUE"""),"")</f>
        <v/>
      </c>
      <c r="I187" s="29" t="str">
        <f ca="1">IFERROR(__xludf.DUMMYFUNCTION("""COMPUTED_VALUE"""),"")</f>
        <v/>
      </c>
      <c r="J187" s="29" t="str">
        <f ca="1">IFERROR(__xludf.DUMMYFUNCTION("""COMPUTED_VALUE"""),"")</f>
        <v/>
      </c>
      <c r="K187" s="29" t="str">
        <f ca="1">IFERROR(__xludf.DUMMYFUNCTION("""COMPUTED_VALUE"""),"")</f>
        <v/>
      </c>
      <c r="L187" s="29" t="str">
        <f ca="1">IFERROR(__xludf.DUMMYFUNCTION("""COMPUTED_VALUE"""),"")</f>
        <v/>
      </c>
      <c r="M187" s="29" t="str">
        <f ca="1">IFERROR(__xludf.DUMMYFUNCTION("""COMPUTED_VALUE"""),"")</f>
        <v/>
      </c>
      <c r="N187" s="29" t="str">
        <f ca="1">IFERROR(__xludf.DUMMYFUNCTION("""COMPUTED_VALUE"""),"")</f>
        <v/>
      </c>
    </row>
    <row r="188" spans="2:14" ht="12.5">
      <c r="B188" s="2"/>
      <c r="C188" s="2" t="str">
        <f ca="1">IFERROR(__xludf.DUMMYFUNCTION("""COMPUTED_VALUE"""),"")</f>
        <v/>
      </c>
      <c r="D188" s="2" t="str">
        <f ca="1">IFERROR(__xludf.DUMMYFUNCTION("""COMPUTED_VALUE"""),"")</f>
        <v/>
      </c>
      <c r="E188" s="29" t="str">
        <f ca="1">IFERROR(__xludf.DUMMYFUNCTION("""COMPUTED_VALUE"""),"")</f>
        <v/>
      </c>
      <c r="F188" s="30" t="str">
        <f ca="1">IFERROR(__xludf.DUMMYFUNCTION("""COMPUTED_VALUE"""),"")</f>
        <v/>
      </c>
      <c r="G188" s="29" t="str">
        <f ca="1">IFERROR(__xludf.DUMMYFUNCTION("""COMPUTED_VALUE"""),"")</f>
        <v/>
      </c>
      <c r="H188" s="30" t="str">
        <f ca="1">IFERROR(__xludf.DUMMYFUNCTION("""COMPUTED_VALUE"""),"")</f>
        <v/>
      </c>
      <c r="I188" s="29" t="str">
        <f ca="1">IFERROR(__xludf.DUMMYFUNCTION("""COMPUTED_VALUE"""),"")</f>
        <v/>
      </c>
      <c r="J188" s="29" t="str">
        <f ca="1">IFERROR(__xludf.DUMMYFUNCTION("""COMPUTED_VALUE"""),"")</f>
        <v/>
      </c>
      <c r="K188" s="29" t="str">
        <f ca="1">IFERROR(__xludf.DUMMYFUNCTION("""COMPUTED_VALUE"""),"")</f>
        <v/>
      </c>
      <c r="L188" s="29" t="str">
        <f ca="1">IFERROR(__xludf.DUMMYFUNCTION("""COMPUTED_VALUE"""),"")</f>
        <v/>
      </c>
      <c r="M188" s="29" t="str">
        <f ca="1">IFERROR(__xludf.DUMMYFUNCTION("""COMPUTED_VALUE"""),"")</f>
        <v/>
      </c>
      <c r="N188" s="29" t="str">
        <f ca="1">IFERROR(__xludf.DUMMYFUNCTION("""COMPUTED_VALUE"""),"")</f>
        <v/>
      </c>
    </row>
    <row r="189" spans="2:14" ht="12.5">
      <c r="B189" s="2"/>
      <c r="C189" s="2" t="str">
        <f ca="1">IFERROR(__xludf.DUMMYFUNCTION("""COMPUTED_VALUE"""),"")</f>
        <v/>
      </c>
      <c r="D189" s="2" t="str">
        <f ca="1">IFERROR(__xludf.DUMMYFUNCTION("""COMPUTED_VALUE"""),"")</f>
        <v/>
      </c>
      <c r="E189" s="29" t="str">
        <f ca="1">IFERROR(__xludf.DUMMYFUNCTION("""COMPUTED_VALUE"""),"")</f>
        <v/>
      </c>
      <c r="F189" s="30" t="str">
        <f ca="1">IFERROR(__xludf.DUMMYFUNCTION("""COMPUTED_VALUE"""),"")</f>
        <v/>
      </c>
      <c r="G189" s="29" t="str">
        <f ca="1">IFERROR(__xludf.DUMMYFUNCTION("""COMPUTED_VALUE"""),"")</f>
        <v/>
      </c>
      <c r="H189" s="30" t="str">
        <f ca="1">IFERROR(__xludf.DUMMYFUNCTION("""COMPUTED_VALUE"""),"")</f>
        <v/>
      </c>
      <c r="I189" s="29" t="str">
        <f ca="1">IFERROR(__xludf.DUMMYFUNCTION("""COMPUTED_VALUE"""),"")</f>
        <v/>
      </c>
      <c r="J189" s="29" t="str">
        <f ca="1">IFERROR(__xludf.DUMMYFUNCTION("""COMPUTED_VALUE"""),"")</f>
        <v/>
      </c>
      <c r="K189" s="29" t="str">
        <f ca="1">IFERROR(__xludf.DUMMYFUNCTION("""COMPUTED_VALUE"""),"")</f>
        <v/>
      </c>
      <c r="L189" s="29" t="str">
        <f ca="1">IFERROR(__xludf.DUMMYFUNCTION("""COMPUTED_VALUE"""),"")</f>
        <v/>
      </c>
      <c r="M189" s="29" t="str">
        <f ca="1">IFERROR(__xludf.DUMMYFUNCTION("""COMPUTED_VALUE"""),"")</f>
        <v/>
      </c>
      <c r="N189" s="29" t="str">
        <f ca="1">IFERROR(__xludf.DUMMYFUNCTION("""COMPUTED_VALUE"""),"")</f>
        <v/>
      </c>
    </row>
    <row r="190" spans="2:14" ht="12.5">
      <c r="B190" s="2"/>
      <c r="C190" s="2" t="str">
        <f ca="1">IFERROR(__xludf.DUMMYFUNCTION("""COMPUTED_VALUE"""),"")</f>
        <v/>
      </c>
      <c r="D190" s="2" t="str">
        <f ca="1">IFERROR(__xludf.DUMMYFUNCTION("""COMPUTED_VALUE"""),"")</f>
        <v/>
      </c>
      <c r="E190" s="29" t="str">
        <f ca="1">IFERROR(__xludf.DUMMYFUNCTION("""COMPUTED_VALUE"""),"")</f>
        <v/>
      </c>
      <c r="F190" s="30" t="str">
        <f ca="1">IFERROR(__xludf.DUMMYFUNCTION("""COMPUTED_VALUE"""),"")</f>
        <v/>
      </c>
      <c r="G190" s="29" t="str">
        <f ca="1">IFERROR(__xludf.DUMMYFUNCTION("""COMPUTED_VALUE"""),"")</f>
        <v/>
      </c>
      <c r="H190" s="30" t="str">
        <f ca="1">IFERROR(__xludf.DUMMYFUNCTION("""COMPUTED_VALUE"""),"")</f>
        <v/>
      </c>
      <c r="I190" s="29" t="str">
        <f ca="1">IFERROR(__xludf.DUMMYFUNCTION("""COMPUTED_VALUE"""),"")</f>
        <v/>
      </c>
      <c r="J190" s="29" t="str">
        <f ca="1">IFERROR(__xludf.DUMMYFUNCTION("""COMPUTED_VALUE"""),"")</f>
        <v/>
      </c>
      <c r="K190" s="29" t="str">
        <f ca="1">IFERROR(__xludf.DUMMYFUNCTION("""COMPUTED_VALUE"""),"")</f>
        <v/>
      </c>
      <c r="L190" s="29" t="str">
        <f ca="1">IFERROR(__xludf.DUMMYFUNCTION("""COMPUTED_VALUE"""),"")</f>
        <v/>
      </c>
      <c r="M190" s="29" t="str">
        <f ca="1">IFERROR(__xludf.DUMMYFUNCTION("""COMPUTED_VALUE"""),"")</f>
        <v/>
      </c>
      <c r="N190" s="29" t="str">
        <f ca="1">IFERROR(__xludf.DUMMYFUNCTION("""COMPUTED_VALUE"""),"")</f>
        <v/>
      </c>
    </row>
    <row r="191" spans="2:14" ht="12.5">
      <c r="B191" s="2"/>
      <c r="C191" s="2" t="str">
        <f ca="1">IFERROR(__xludf.DUMMYFUNCTION("""COMPUTED_VALUE"""),"")</f>
        <v/>
      </c>
      <c r="D191" s="2" t="str">
        <f ca="1">IFERROR(__xludf.DUMMYFUNCTION("""COMPUTED_VALUE"""),"")</f>
        <v/>
      </c>
      <c r="E191" s="29" t="str">
        <f ca="1">IFERROR(__xludf.DUMMYFUNCTION("""COMPUTED_VALUE"""),"")</f>
        <v/>
      </c>
      <c r="F191" s="30" t="str">
        <f ca="1">IFERROR(__xludf.DUMMYFUNCTION("""COMPUTED_VALUE"""),"")</f>
        <v/>
      </c>
      <c r="G191" s="29" t="str">
        <f ca="1">IFERROR(__xludf.DUMMYFUNCTION("""COMPUTED_VALUE"""),"")</f>
        <v/>
      </c>
      <c r="H191" s="30" t="str">
        <f ca="1">IFERROR(__xludf.DUMMYFUNCTION("""COMPUTED_VALUE"""),"")</f>
        <v/>
      </c>
      <c r="I191" s="29" t="str">
        <f ca="1">IFERROR(__xludf.DUMMYFUNCTION("""COMPUTED_VALUE"""),"")</f>
        <v/>
      </c>
      <c r="J191" s="29" t="str">
        <f ca="1">IFERROR(__xludf.DUMMYFUNCTION("""COMPUTED_VALUE"""),"")</f>
        <v/>
      </c>
      <c r="K191" s="29" t="str">
        <f ca="1">IFERROR(__xludf.DUMMYFUNCTION("""COMPUTED_VALUE"""),"")</f>
        <v/>
      </c>
      <c r="L191" s="29" t="str">
        <f ca="1">IFERROR(__xludf.DUMMYFUNCTION("""COMPUTED_VALUE"""),"")</f>
        <v/>
      </c>
      <c r="M191" s="29" t="str">
        <f ca="1">IFERROR(__xludf.DUMMYFUNCTION("""COMPUTED_VALUE"""),"")</f>
        <v/>
      </c>
      <c r="N191" s="29" t="str">
        <f ca="1">IFERROR(__xludf.DUMMYFUNCTION("""COMPUTED_VALUE"""),"")</f>
        <v/>
      </c>
    </row>
    <row r="192" spans="2:14" ht="12.5">
      <c r="B192" s="2"/>
      <c r="C192" s="2" t="str">
        <f ca="1">IFERROR(__xludf.DUMMYFUNCTION("""COMPUTED_VALUE"""),"")</f>
        <v/>
      </c>
      <c r="D192" s="2" t="str">
        <f ca="1">IFERROR(__xludf.DUMMYFUNCTION("""COMPUTED_VALUE"""),"")</f>
        <v/>
      </c>
      <c r="E192" s="29" t="str">
        <f ca="1">IFERROR(__xludf.DUMMYFUNCTION("""COMPUTED_VALUE"""),"")</f>
        <v/>
      </c>
      <c r="F192" s="30" t="str">
        <f ca="1">IFERROR(__xludf.DUMMYFUNCTION("""COMPUTED_VALUE"""),"")</f>
        <v/>
      </c>
      <c r="G192" s="29" t="str">
        <f ca="1">IFERROR(__xludf.DUMMYFUNCTION("""COMPUTED_VALUE"""),"")</f>
        <v/>
      </c>
      <c r="H192" s="30" t="str">
        <f ca="1">IFERROR(__xludf.DUMMYFUNCTION("""COMPUTED_VALUE"""),"")</f>
        <v/>
      </c>
      <c r="I192" s="29" t="str">
        <f ca="1">IFERROR(__xludf.DUMMYFUNCTION("""COMPUTED_VALUE"""),"")</f>
        <v/>
      </c>
      <c r="J192" s="29" t="str">
        <f ca="1">IFERROR(__xludf.DUMMYFUNCTION("""COMPUTED_VALUE"""),"")</f>
        <v/>
      </c>
      <c r="K192" s="29" t="str">
        <f ca="1">IFERROR(__xludf.DUMMYFUNCTION("""COMPUTED_VALUE"""),"")</f>
        <v/>
      </c>
      <c r="L192" s="29" t="str">
        <f ca="1">IFERROR(__xludf.DUMMYFUNCTION("""COMPUTED_VALUE"""),"")</f>
        <v/>
      </c>
      <c r="M192" s="29" t="str">
        <f ca="1">IFERROR(__xludf.DUMMYFUNCTION("""COMPUTED_VALUE"""),"")</f>
        <v/>
      </c>
      <c r="N192" s="29" t="str">
        <f ca="1">IFERROR(__xludf.DUMMYFUNCTION("""COMPUTED_VALUE"""),"")</f>
        <v/>
      </c>
    </row>
    <row r="193" spans="2:14" ht="12.5">
      <c r="B193" s="2"/>
      <c r="C193" s="2" t="str">
        <f ca="1">IFERROR(__xludf.DUMMYFUNCTION("""COMPUTED_VALUE"""),"")</f>
        <v/>
      </c>
      <c r="D193" s="2" t="str">
        <f ca="1">IFERROR(__xludf.DUMMYFUNCTION("""COMPUTED_VALUE"""),"")</f>
        <v/>
      </c>
      <c r="E193" s="29" t="str">
        <f ca="1">IFERROR(__xludf.DUMMYFUNCTION("""COMPUTED_VALUE"""),"")</f>
        <v/>
      </c>
      <c r="F193" s="30" t="str">
        <f ca="1">IFERROR(__xludf.DUMMYFUNCTION("""COMPUTED_VALUE"""),"")</f>
        <v/>
      </c>
      <c r="G193" s="29" t="str">
        <f ca="1">IFERROR(__xludf.DUMMYFUNCTION("""COMPUTED_VALUE"""),"")</f>
        <v/>
      </c>
      <c r="H193" s="30" t="str">
        <f ca="1">IFERROR(__xludf.DUMMYFUNCTION("""COMPUTED_VALUE"""),"")</f>
        <v/>
      </c>
      <c r="I193" s="29" t="str">
        <f ca="1">IFERROR(__xludf.DUMMYFUNCTION("""COMPUTED_VALUE"""),"")</f>
        <v/>
      </c>
      <c r="J193" s="29" t="str">
        <f ca="1">IFERROR(__xludf.DUMMYFUNCTION("""COMPUTED_VALUE"""),"")</f>
        <v/>
      </c>
      <c r="K193" s="29" t="str">
        <f ca="1">IFERROR(__xludf.DUMMYFUNCTION("""COMPUTED_VALUE"""),"")</f>
        <v/>
      </c>
      <c r="L193" s="29" t="str">
        <f ca="1">IFERROR(__xludf.DUMMYFUNCTION("""COMPUTED_VALUE"""),"")</f>
        <v/>
      </c>
      <c r="M193" s="29" t="str">
        <f ca="1">IFERROR(__xludf.DUMMYFUNCTION("""COMPUTED_VALUE"""),"")</f>
        <v/>
      </c>
      <c r="N193" s="29" t="str">
        <f ca="1">IFERROR(__xludf.DUMMYFUNCTION("""COMPUTED_VALUE"""),"")</f>
        <v/>
      </c>
    </row>
    <row r="194" spans="2:14" ht="12.5">
      <c r="B194" s="2"/>
      <c r="C194" s="2" t="str">
        <f ca="1">IFERROR(__xludf.DUMMYFUNCTION("""COMPUTED_VALUE"""),"")</f>
        <v/>
      </c>
      <c r="D194" s="2" t="str">
        <f ca="1">IFERROR(__xludf.DUMMYFUNCTION("""COMPUTED_VALUE"""),"")</f>
        <v/>
      </c>
      <c r="E194" s="29" t="str">
        <f ca="1">IFERROR(__xludf.DUMMYFUNCTION("""COMPUTED_VALUE"""),"")</f>
        <v/>
      </c>
      <c r="F194" s="30" t="str">
        <f ca="1">IFERROR(__xludf.DUMMYFUNCTION("""COMPUTED_VALUE"""),"")</f>
        <v/>
      </c>
      <c r="G194" s="29" t="str">
        <f ca="1">IFERROR(__xludf.DUMMYFUNCTION("""COMPUTED_VALUE"""),"")</f>
        <v/>
      </c>
      <c r="H194" s="30" t="str">
        <f ca="1">IFERROR(__xludf.DUMMYFUNCTION("""COMPUTED_VALUE"""),"")</f>
        <v/>
      </c>
      <c r="I194" s="29" t="str">
        <f ca="1">IFERROR(__xludf.DUMMYFUNCTION("""COMPUTED_VALUE"""),"")</f>
        <v/>
      </c>
      <c r="J194" s="29" t="str">
        <f ca="1">IFERROR(__xludf.DUMMYFUNCTION("""COMPUTED_VALUE"""),"")</f>
        <v/>
      </c>
      <c r="K194" s="29" t="str">
        <f ca="1">IFERROR(__xludf.DUMMYFUNCTION("""COMPUTED_VALUE"""),"")</f>
        <v/>
      </c>
      <c r="L194" s="29" t="str">
        <f ca="1">IFERROR(__xludf.DUMMYFUNCTION("""COMPUTED_VALUE"""),"")</f>
        <v/>
      </c>
      <c r="M194" s="29" t="str">
        <f ca="1">IFERROR(__xludf.DUMMYFUNCTION("""COMPUTED_VALUE"""),"")</f>
        <v/>
      </c>
      <c r="N194" s="29" t="str">
        <f ca="1">IFERROR(__xludf.DUMMYFUNCTION("""COMPUTED_VALUE"""),"")</f>
        <v/>
      </c>
    </row>
    <row r="195" spans="2:14" ht="12.5">
      <c r="B195" s="2"/>
      <c r="C195" s="2" t="str">
        <f ca="1">IFERROR(__xludf.DUMMYFUNCTION("""COMPUTED_VALUE"""),"")</f>
        <v/>
      </c>
      <c r="D195" s="2" t="str">
        <f ca="1">IFERROR(__xludf.DUMMYFUNCTION("""COMPUTED_VALUE"""),"")</f>
        <v/>
      </c>
      <c r="E195" s="29" t="str">
        <f ca="1">IFERROR(__xludf.DUMMYFUNCTION("""COMPUTED_VALUE"""),"")</f>
        <v/>
      </c>
      <c r="F195" s="30" t="str">
        <f ca="1">IFERROR(__xludf.DUMMYFUNCTION("""COMPUTED_VALUE"""),"")</f>
        <v/>
      </c>
      <c r="G195" s="29" t="str">
        <f ca="1">IFERROR(__xludf.DUMMYFUNCTION("""COMPUTED_VALUE"""),"")</f>
        <v/>
      </c>
      <c r="H195" s="30" t="str">
        <f ca="1">IFERROR(__xludf.DUMMYFUNCTION("""COMPUTED_VALUE"""),"")</f>
        <v/>
      </c>
      <c r="I195" s="29" t="str">
        <f ca="1">IFERROR(__xludf.DUMMYFUNCTION("""COMPUTED_VALUE"""),"")</f>
        <v/>
      </c>
      <c r="J195" s="29" t="str">
        <f ca="1">IFERROR(__xludf.DUMMYFUNCTION("""COMPUTED_VALUE"""),"")</f>
        <v/>
      </c>
      <c r="K195" s="29" t="str">
        <f ca="1">IFERROR(__xludf.DUMMYFUNCTION("""COMPUTED_VALUE"""),"")</f>
        <v/>
      </c>
      <c r="L195" s="29" t="str">
        <f ca="1">IFERROR(__xludf.DUMMYFUNCTION("""COMPUTED_VALUE"""),"")</f>
        <v/>
      </c>
      <c r="M195" s="29" t="str">
        <f ca="1">IFERROR(__xludf.DUMMYFUNCTION("""COMPUTED_VALUE"""),"")</f>
        <v/>
      </c>
      <c r="N195" s="29" t="str">
        <f ca="1">IFERROR(__xludf.DUMMYFUNCTION("""COMPUTED_VALUE"""),"")</f>
        <v/>
      </c>
    </row>
    <row r="196" spans="2:14" ht="12.5">
      <c r="B196" s="2"/>
      <c r="C196" s="2" t="str">
        <f ca="1">IFERROR(__xludf.DUMMYFUNCTION("""COMPUTED_VALUE"""),"")</f>
        <v/>
      </c>
      <c r="D196" s="2" t="str">
        <f ca="1">IFERROR(__xludf.DUMMYFUNCTION("""COMPUTED_VALUE"""),"")</f>
        <v/>
      </c>
      <c r="E196" s="29" t="str">
        <f ca="1">IFERROR(__xludf.DUMMYFUNCTION("""COMPUTED_VALUE"""),"")</f>
        <v/>
      </c>
      <c r="F196" s="30" t="str">
        <f ca="1">IFERROR(__xludf.DUMMYFUNCTION("""COMPUTED_VALUE"""),"")</f>
        <v/>
      </c>
      <c r="G196" s="29" t="str">
        <f ca="1">IFERROR(__xludf.DUMMYFUNCTION("""COMPUTED_VALUE"""),"")</f>
        <v/>
      </c>
      <c r="H196" s="30" t="str">
        <f ca="1">IFERROR(__xludf.DUMMYFUNCTION("""COMPUTED_VALUE"""),"")</f>
        <v/>
      </c>
      <c r="I196" s="29" t="str">
        <f ca="1">IFERROR(__xludf.DUMMYFUNCTION("""COMPUTED_VALUE"""),"")</f>
        <v/>
      </c>
      <c r="J196" s="29" t="str">
        <f ca="1">IFERROR(__xludf.DUMMYFUNCTION("""COMPUTED_VALUE"""),"")</f>
        <v/>
      </c>
      <c r="K196" s="29" t="str">
        <f ca="1">IFERROR(__xludf.DUMMYFUNCTION("""COMPUTED_VALUE"""),"")</f>
        <v/>
      </c>
      <c r="L196" s="29" t="str">
        <f ca="1">IFERROR(__xludf.DUMMYFUNCTION("""COMPUTED_VALUE"""),"")</f>
        <v/>
      </c>
      <c r="M196" s="29" t="str">
        <f ca="1">IFERROR(__xludf.DUMMYFUNCTION("""COMPUTED_VALUE"""),"")</f>
        <v/>
      </c>
      <c r="N196" s="29" t="str">
        <f ca="1">IFERROR(__xludf.DUMMYFUNCTION("""COMPUTED_VALUE"""),"")</f>
        <v/>
      </c>
    </row>
    <row r="197" spans="2:14" ht="12.5">
      <c r="B197" s="2"/>
      <c r="C197" s="2" t="str">
        <f ca="1">IFERROR(__xludf.DUMMYFUNCTION("""COMPUTED_VALUE"""),"")</f>
        <v/>
      </c>
      <c r="D197" s="2" t="str">
        <f ca="1">IFERROR(__xludf.DUMMYFUNCTION("""COMPUTED_VALUE"""),"")</f>
        <v/>
      </c>
      <c r="E197" s="29" t="str">
        <f ca="1">IFERROR(__xludf.DUMMYFUNCTION("""COMPUTED_VALUE"""),"")</f>
        <v/>
      </c>
      <c r="F197" s="30" t="str">
        <f ca="1">IFERROR(__xludf.DUMMYFUNCTION("""COMPUTED_VALUE"""),"")</f>
        <v/>
      </c>
      <c r="G197" s="29" t="str">
        <f ca="1">IFERROR(__xludf.DUMMYFUNCTION("""COMPUTED_VALUE"""),"")</f>
        <v/>
      </c>
      <c r="H197" s="30" t="str">
        <f ca="1">IFERROR(__xludf.DUMMYFUNCTION("""COMPUTED_VALUE"""),"")</f>
        <v/>
      </c>
      <c r="I197" s="29" t="str">
        <f ca="1">IFERROR(__xludf.DUMMYFUNCTION("""COMPUTED_VALUE"""),"")</f>
        <v/>
      </c>
      <c r="J197" s="29" t="str">
        <f ca="1">IFERROR(__xludf.DUMMYFUNCTION("""COMPUTED_VALUE"""),"")</f>
        <v/>
      </c>
      <c r="K197" s="29" t="str">
        <f ca="1">IFERROR(__xludf.DUMMYFUNCTION("""COMPUTED_VALUE"""),"")</f>
        <v/>
      </c>
      <c r="L197" s="29" t="str">
        <f ca="1">IFERROR(__xludf.DUMMYFUNCTION("""COMPUTED_VALUE"""),"")</f>
        <v/>
      </c>
      <c r="M197" s="29" t="str">
        <f ca="1">IFERROR(__xludf.DUMMYFUNCTION("""COMPUTED_VALUE"""),"")</f>
        <v/>
      </c>
      <c r="N197" s="29" t="str">
        <f ca="1">IFERROR(__xludf.DUMMYFUNCTION("""COMPUTED_VALUE"""),"")</f>
        <v/>
      </c>
    </row>
    <row r="198" spans="2:14" ht="12.5">
      <c r="B198" s="2"/>
      <c r="C198" s="2" t="str">
        <f ca="1">IFERROR(__xludf.DUMMYFUNCTION("""COMPUTED_VALUE"""),"")</f>
        <v/>
      </c>
      <c r="D198" s="2" t="str">
        <f ca="1">IFERROR(__xludf.DUMMYFUNCTION("""COMPUTED_VALUE"""),"")</f>
        <v/>
      </c>
      <c r="E198" s="29" t="str">
        <f ca="1">IFERROR(__xludf.DUMMYFUNCTION("""COMPUTED_VALUE"""),"")</f>
        <v/>
      </c>
      <c r="F198" s="30" t="str">
        <f ca="1">IFERROR(__xludf.DUMMYFUNCTION("""COMPUTED_VALUE"""),"")</f>
        <v/>
      </c>
      <c r="G198" s="29" t="str">
        <f ca="1">IFERROR(__xludf.DUMMYFUNCTION("""COMPUTED_VALUE"""),"")</f>
        <v/>
      </c>
      <c r="H198" s="30" t="str">
        <f ca="1">IFERROR(__xludf.DUMMYFUNCTION("""COMPUTED_VALUE"""),"")</f>
        <v/>
      </c>
      <c r="I198" s="29" t="str">
        <f ca="1">IFERROR(__xludf.DUMMYFUNCTION("""COMPUTED_VALUE"""),"")</f>
        <v/>
      </c>
      <c r="J198" s="29" t="str">
        <f ca="1">IFERROR(__xludf.DUMMYFUNCTION("""COMPUTED_VALUE"""),"")</f>
        <v/>
      </c>
      <c r="K198" s="29" t="str">
        <f ca="1">IFERROR(__xludf.DUMMYFUNCTION("""COMPUTED_VALUE"""),"")</f>
        <v/>
      </c>
      <c r="L198" s="29" t="str">
        <f ca="1">IFERROR(__xludf.DUMMYFUNCTION("""COMPUTED_VALUE"""),"")</f>
        <v/>
      </c>
      <c r="M198" s="29" t="str">
        <f ca="1">IFERROR(__xludf.DUMMYFUNCTION("""COMPUTED_VALUE"""),"")</f>
        <v/>
      </c>
      <c r="N198" s="29" t="str">
        <f ca="1">IFERROR(__xludf.DUMMYFUNCTION("""COMPUTED_VALUE"""),"")</f>
        <v/>
      </c>
    </row>
    <row r="199" spans="2:14" ht="12.5">
      <c r="B199" s="2"/>
      <c r="C199" s="2" t="str">
        <f ca="1">IFERROR(__xludf.DUMMYFUNCTION("""COMPUTED_VALUE"""),"")</f>
        <v/>
      </c>
      <c r="D199" s="2" t="str">
        <f ca="1">IFERROR(__xludf.DUMMYFUNCTION("""COMPUTED_VALUE"""),"")</f>
        <v/>
      </c>
      <c r="E199" s="29" t="str">
        <f ca="1">IFERROR(__xludf.DUMMYFUNCTION("""COMPUTED_VALUE"""),"")</f>
        <v/>
      </c>
      <c r="F199" s="30" t="str">
        <f ca="1">IFERROR(__xludf.DUMMYFUNCTION("""COMPUTED_VALUE"""),"")</f>
        <v/>
      </c>
      <c r="G199" s="29" t="str">
        <f ca="1">IFERROR(__xludf.DUMMYFUNCTION("""COMPUTED_VALUE"""),"")</f>
        <v/>
      </c>
      <c r="H199" s="30" t="str">
        <f ca="1">IFERROR(__xludf.DUMMYFUNCTION("""COMPUTED_VALUE"""),"")</f>
        <v/>
      </c>
      <c r="I199" s="29" t="str">
        <f ca="1">IFERROR(__xludf.DUMMYFUNCTION("""COMPUTED_VALUE"""),"")</f>
        <v/>
      </c>
      <c r="J199" s="29" t="str">
        <f ca="1">IFERROR(__xludf.DUMMYFUNCTION("""COMPUTED_VALUE"""),"")</f>
        <v/>
      </c>
      <c r="K199" s="29" t="str">
        <f ca="1">IFERROR(__xludf.DUMMYFUNCTION("""COMPUTED_VALUE"""),"")</f>
        <v/>
      </c>
      <c r="L199" s="29" t="str">
        <f ca="1">IFERROR(__xludf.DUMMYFUNCTION("""COMPUTED_VALUE"""),"")</f>
        <v/>
      </c>
      <c r="M199" s="29" t="str">
        <f ca="1">IFERROR(__xludf.DUMMYFUNCTION("""COMPUTED_VALUE"""),"")</f>
        <v/>
      </c>
      <c r="N199" s="29" t="str">
        <f ca="1">IFERROR(__xludf.DUMMYFUNCTION("""COMPUTED_VALUE"""),"")</f>
        <v/>
      </c>
    </row>
    <row r="200" spans="2:14" ht="12.5">
      <c r="B200" s="2"/>
      <c r="C200" s="2" t="str">
        <f ca="1">IFERROR(__xludf.DUMMYFUNCTION("""COMPUTED_VALUE"""),"")</f>
        <v/>
      </c>
      <c r="D200" s="2" t="str">
        <f ca="1">IFERROR(__xludf.DUMMYFUNCTION("""COMPUTED_VALUE"""),"")</f>
        <v/>
      </c>
      <c r="E200" s="29" t="str">
        <f ca="1">IFERROR(__xludf.DUMMYFUNCTION("""COMPUTED_VALUE"""),"")</f>
        <v/>
      </c>
      <c r="F200" s="30" t="str">
        <f ca="1">IFERROR(__xludf.DUMMYFUNCTION("""COMPUTED_VALUE"""),"")</f>
        <v/>
      </c>
      <c r="G200" s="29" t="str">
        <f ca="1">IFERROR(__xludf.DUMMYFUNCTION("""COMPUTED_VALUE"""),"")</f>
        <v/>
      </c>
      <c r="H200" s="30" t="str">
        <f ca="1">IFERROR(__xludf.DUMMYFUNCTION("""COMPUTED_VALUE"""),"")</f>
        <v/>
      </c>
      <c r="I200" s="29" t="str">
        <f ca="1">IFERROR(__xludf.DUMMYFUNCTION("""COMPUTED_VALUE"""),"")</f>
        <v/>
      </c>
      <c r="J200" s="29" t="str">
        <f ca="1">IFERROR(__xludf.DUMMYFUNCTION("""COMPUTED_VALUE"""),"")</f>
        <v/>
      </c>
      <c r="K200" s="29" t="str">
        <f ca="1">IFERROR(__xludf.DUMMYFUNCTION("""COMPUTED_VALUE"""),"")</f>
        <v/>
      </c>
      <c r="L200" s="29" t="str">
        <f ca="1">IFERROR(__xludf.DUMMYFUNCTION("""COMPUTED_VALUE"""),"")</f>
        <v/>
      </c>
      <c r="M200" s="29" t="str">
        <f ca="1">IFERROR(__xludf.DUMMYFUNCTION("""COMPUTED_VALUE"""),"")</f>
        <v/>
      </c>
      <c r="N200" s="29" t="str">
        <f ca="1">IFERROR(__xludf.DUMMYFUNCTION("""COMPUTED_VALUE"""),"")</f>
        <v/>
      </c>
    </row>
    <row r="201" spans="2:14" ht="12.5">
      <c r="B201" s="2"/>
      <c r="C201" s="2" t="str">
        <f ca="1">IFERROR(__xludf.DUMMYFUNCTION("""COMPUTED_VALUE"""),"")</f>
        <v/>
      </c>
      <c r="D201" s="2" t="str">
        <f ca="1">IFERROR(__xludf.DUMMYFUNCTION("""COMPUTED_VALUE"""),"")</f>
        <v/>
      </c>
      <c r="E201" s="29" t="str">
        <f ca="1">IFERROR(__xludf.DUMMYFUNCTION("""COMPUTED_VALUE"""),"")</f>
        <v/>
      </c>
      <c r="F201" s="30" t="str">
        <f ca="1">IFERROR(__xludf.DUMMYFUNCTION("""COMPUTED_VALUE"""),"")</f>
        <v/>
      </c>
      <c r="G201" s="29" t="str">
        <f ca="1">IFERROR(__xludf.DUMMYFUNCTION("""COMPUTED_VALUE"""),"")</f>
        <v/>
      </c>
      <c r="H201" s="30" t="str">
        <f ca="1">IFERROR(__xludf.DUMMYFUNCTION("""COMPUTED_VALUE"""),"")</f>
        <v/>
      </c>
      <c r="I201" s="29" t="str">
        <f ca="1">IFERROR(__xludf.DUMMYFUNCTION("""COMPUTED_VALUE"""),"")</f>
        <v/>
      </c>
      <c r="J201" s="29" t="str">
        <f ca="1">IFERROR(__xludf.DUMMYFUNCTION("""COMPUTED_VALUE"""),"")</f>
        <v/>
      </c>
      <c r="K201" s="29" t="str">
        <f ca="1">IFERROR(__xludf.DUMMYFUNCTION("""COMPUTED_VALUE"""),"")</f>
        <v/>
      </c>
      <c r="L201" s="29" t="str">
        <f ca="1">IFERROR(__xludf.DUMMYFUNCTION("""COMPUTED_VALUE"""),"")</f>
        <v/>
      </c>
      <c r="M201" s="29" t="str">
        <f ca="1">IFERROR(__xludf.DUMMYFUNCTION("""COMPUTED_VALUE"""),"")</f>
        <v/>
      </c>
      <c r="N201" s="29" t="str">
        <f ca="1">IFERROR(__xludf.DUMMYFUNCTION("""COMPUTED_VALUE"""),"")</f>
        <v/>
      </c>
    </row>
    <row r="202" spans="2:14" ht="12.5">
      <c r="B202" s="2"/>
      <c r="C202" s="2" t="str">
        <f ca="1">IFERROR(__xludf.DUMMYFUNCTION("""COMPUTED_VALUE"""),"")</f>
        <v/>
      </c>
      <c r="D202" s="2" t="str">
        <f ca="1">IFERROR(__xludf.DUMMYFUNCTION("""COMPUTED_VALUE"""),"")</f>
        <v/>
      </c>
      <c r="E202" s="29" t="str">
        <f ca="1">IFERROR(__xludf.DUMMYFUNCTION("""COMPUTED_VALUE"""),"")</f>
        <v/>
      </c>
      <c r="F202" s="30" t="str">
        <f ca="1">IFERROR(__xludf.DUMMYFUNCTION("""COMPUTED_VALUE"""),"")</f>
        <v/>
      </c>
      <c r="G202" s="29" t="str">
        <f ca="1">IFERROR(__xludf.DUMMYFUNCTION("""COMPUTED_VALUE"""),"")</f>
        <v/>
      </c>
      <c r="H202" s="30" t="str">
        <f ca="1">IFERROR(__xludf.DUMMYFUNCTION("""COMPUTED_VALUE"""),"")</f>
        <v/>
      </c>
      <c r="I202" s="29" t="str">
        <f ca="1">IFERROR(__xludf.DUMMYFUNCTION("""COMPUTED_VALUE"""),"")</f>
        <v/>
      </c>
      <c r="J202" s="29" t="str">
        <f ca="1">IFERROR(__xludf.DUMMYFUNCTION("""COMPUTED_VALUE"""),"")</f>
        <v/>
      </c>
      <c r="K202" s="29" t="str">
        <f ca="1">IFERROR(__xludf.DUMMYFUNCTION("""COMPUTED_VALUE"""),"")</f>
        <v/>
      </c>
      <c r="L202" s="29" t="str">
        <f ca="1">IFERROR(__xludf.DUMMYFUNCTION("""COMPUTED_VALUE"""),"")</f>
        <v/>
      </c>
      <c r="M202" s="29" t="str">
        <f ca="1">IFERROR(__xludf.DUMMYFUNCTION("""COMPUTED_VALUE"""),"")</f>
        <v/>
      </c>
      <c r="N202" s="29" t="str">
        <f ca="1">IFERROR(__xludf.DUMMYFUNCTION("""COMPUTED_VALUE"""),"")</f>
        <v/>
      </c>
    </row>
    <row r="203" spans="2:14" ht="12.5">
      <c r="B203" s="2"/>
      <c r="C203" s="2" t="str">
        <f ca="1">IFERROR(__xludf.DUMMYFUNCTION("""COMPUTED_VALUE"""),"")</f>
        <v/>
      </c>
      <c r="D203" s="2" t="str">
        <f ca="1">IFERROR(__xludf.DUMMYFUNCTION("""COMPUTED_VALUE"""),"")</f>
        <v/>
      </c>
      <c r="E203" s="29" t="str">
        <f ca="1">IFERROR(__xludf.DUMMYFUNCTION("""COMPUTED_VALUE"""),"")</f>
        <v/>
      </c>
      <c r="F203" s="30" t="str">
        <f ca="1">IFERROR(__xludf.DUMMYFUNCTION("""COMPUTED_VALUE"""),"")</f>
        <v/>
      </c>
      <c r="G203" s="29" t="str">
        <f ca="1">IFERROR(__xludf.DUMMYFUNCTION("""COMPUTED_VALUE"""),"")</f>
        <v/>
      </c>
      <c r="H203" s="30" t="str">
        <f ca="1">IFERROR(__xludf.DUMMYFUNCTION("""COMPUTED_VALUE"""),"")</f>
        <v/>
      </c>
      <c r="I203" s="29" t="str">
        <f ca="1">IFERROR(__xludf.DUMMYFUNCTION("""COMPUTED_VALUE"""),"")</f>
        <v/>
      </c>
      <c r="J203" s="29" t="str">
        <f ca="1">IFERROR(__xludf.DUMMYFUNCTION("""COMPUTED_VALUE"""),"")</f>
        <v/>
      </c>
      <c r="K203" s="29" t="str">
        <f ca="1">IFERROR(__xludf.DUMMYFUNCTION("""COMPUTED_VALUE"""),"")</f>
        <v/>
      </c>
      <c r="L203" s="29" t="str">
        <f ca="1">IFERROR(__xludf.DUMMYFUNCTION("""COMPUTED_VALUE"""),"")</f>
        <v/>
      </c>
      <c r="M203" s="29" t="str">
        <f ca="1">IFERROR(__xludf.DUMMYFUNCTION("""COMPUTED_VALUE"""),"")</f>
        <v/>
      </c>
      <c r="N203" s="29" t="str">
        <f ca="1">IFERROR(__xludf.DUMMYFUNCTION("""COMPUTED_VALUE"""),"")</f>
        <v/>
      </c>
    </row>
    <row r="204" spans="2:14" ht="12.5">
      <c r="B204" s="2"/>
      <c r="C204" s="2" t="str">
        <f ca="1">IFERROR(__xludf.DUMMYFUNCTION("""COMPUTED_VALUE"""),"")</f>
        <v/>
      </c>
      <c r="D204" s="2" t="str">
        <f ca="1">IFERROR(__xludf.DUMMYFUNCTION("""COMPUTED_VALUE"""),"")</f>
        <v/>
      </c>
      <c r="E204" s="29" t="str">
        <f ca="1">IFERROR(__xludf.DUMMYFUNCTION("""COMPUTED_VALUE"""),"")</f>
        <v/>
      </c>
      <c r="F204" s="30" t="str">
        <f ca="1">IFERROR(__xludf.DUMMYFUNCTION("""COMPUTED_VALUE"""),"")</f>
        <v/>
      </c>
      <c r="G204" s="29" t="str">
        <f ca="1">IFERROR(__xludf.DUMMYFUNCTION("""COMPUTED_VALUE"""),"")</f>
        <v/>
      </c>
      <c r="H204" s="30" t="str">
        <f ca="1">IFERROR(__xludf.DUMMYFUNCTION("""COMPUTED_VALUE"""),"")</f>
        <v/>
      </c>
      <c r="I204" s="29" t="str">
        <f ca="1">IFERROR(__xludf.DUMMYFUNCTION("""COMPUTED_VALUE"""),"")</f>
        <v/>
      </c>
      <c r="J204" s="29" t="str">
        <f ca="1">IFERROR(__xludf.DUMMYFUNCTION("""COMPUTED_VALUE"""),"")</f>
        <v/>
      </c>
      <c r="K204" s="29" t="str">
        <f ca="1">IFERROR(__xludf.DUMMYFUNCTION("""COMPUTED_VALUE"""),"")</f>
        <v/>
      </c>
      <c r="L204" s="29" t="str">
        <f ca="1">IFERROR(__xludf.DUMMYFUNCTION("""COMPUTED_VALUE"""),"")</f>
        <v/>
      </c>
      <c r="M204" s="29" t="str">
        <f ca="1">IFERROR(__xludf.DUMMYFUNCTION("""COMPUTED_VALUE"""),"")</f>
        <v/>
      </c>
      <c r="N204" s="29" t="str">
        <f ca="1">IFERROR(__xludf.DUMMYFUNCTION("""COMPUTED_VALUE"""),"")</f>
        <v/>
      </c>
    </row>
    <row r="205" spans="2:14" ht="12.5">
      <c r="B205" s="2"/>
      <c r="C205" s="2" t="str">
        <f ca="1">IFERROR(__xludf.DUMMYFUNCTION("""COMPUTED_VALUE"""),"")</f>
        <v/>
      </c>
      <c r="D205" s="2" t="str">
        <f ca="1">IFERROR(__xludf.DUMMYFUNCTION("""COMPUTED_VALUE"""),"")</f>
        <v/>
      </c>
      <c r="E205" s="29" t="str">
        <f ca="1">IFERROR(__xludf.DUMMYFUNCTION("""COMPUTED_VALUE"""),"")</f>
        <v/>
      </c>
      <c r="F205" s="30" t="str">
        <f ca="1">IFERROR(__xludf.DUMMYFUNCTION("""COMPUTED_VALUE"""),"")</f>
        <v/>
      </c>
      <c r="G205" s="29" t="str">
        <f ca="1">IFERROR(__xludf.DUMMYFUNCTION("""COMPUTED_VALUE"""),"")</f>
        <v/>
      </c>
      <c r="H205" s="30" t="str">
        <f ca="1">IFERROR(__xludf.DUMMYFUNCTION("""COMPUTED_VALUE"""),"")</f>
        <v/>
      </c>
      <c r="I205" s="29" t="str">
        <f ca="1">IFERROR(__xludf.DUMMYFUNCTION("""COMPUTED_VALUE"""),"")</f>
        <v/>
      </c>
      <c r="J205" s="29" t="str">
        <f ca="1">IFERROR(__xludf.DUMMYFUNCTION("""COMPUTED_VALUE"""),"")</f>
        <v/>
      </c>
      <c r="K205" s="29" t="str">
        <f ca="1">IFERROR(__xludf.DUMMYFUNCTION("""COMPUTED_VALUE"""),"")</f>
        <v/>
      </c>
      <c r="L205" s="29" t="str">
        <f ca="1">IFERROR(__xludf.DUMMYFUNCTION("""COMPUTED_VALUE"""),"")</f>
        <v/>
      </c>
      <c r="M205" s="29" t="str">
        <f ca="1">IFERROR(__xludf.DUMMYFUNCTION("""COMPUTED_VALUE"""),"")</f>
        <v/>
      </c>
      <c r="N205" s="29" t="str">
        <f ca="1">IFERROR(__xludf.DUMMYFUNCTION("""COMPUTED_VALUE"""),"")</f>
        <v/>
      </c>
    </row>
    <row r="206" spans="2:14" ht="12.5">
      <c r="B206" s="2"/>
      <c r="C206" s="2" t="str">
        <f ca="1">IFERROR(__xludf.DUMMYFUNCTION("""COMPUTED_VALUE"""),"")</f>
        <v/>
      </c>
      <c r="D206" s="2" t="str">
        <f ca="1">IFERROR(__xludf.DUMMYFUNCTION("""COMPUTED_VALUE"""),"")</f>
        <v/>
      </c>
      <c r="E206" s="29" t="str">
        <f ca="1">IFERROR(__xludf.DUMMYFUNCTION("""COMPUTED_VALUE"""),"")</f>
        <v/>
      </c>
      <c r="F206" s="30" t="str">
        <f ca="1">IFERROR(__xludf.DUMMYFUNCTION("""COMPUTED_VALUE"""),"")</f>
        <v/>
      </c>
      <c r="G206" s="29" t="str">
        <f ca="1">IFERROR(__xludf.DUMMYFUNCTION("""COMPUTED_VALUE"""),"")</f>
        <v/>
      </c>
      <c r="H206" s="30" t="str">
        <f ca="1">IFERROR(__xludf.DUMMYFUNCTION("""COMPUTED_VALUE"""),"")</f>
        <v/>
      </c>
      <c r="I206" s="29" t="str">
        <f ca="1">IFERROR(__xludf.DUMMYFUNCTION("""COMPUTED_VALUE"""),"")</f>
        <v/>
      </c>
      <c r="J206" s="29" t="str">
        <f ca="1">IFERROR(__xludf.DUMMYFUNCTION("""COMPUTED_VALUE"""),"")</f>
        <v/>
      </c>
      <c r="K206" s="29" t="str">
        <f ca="1">IFERROR(__xludf.DUMMYFUNCTION("""COMPUTED_VALUE"""),"")</f>
        <v/>
      </c>
      <c r="L206" s="29" t="str">
        <f ca="1">IFERROR(__xludf.DUMMYFUNCTION("""COMPUTED_VALUE"""),"")</f>
        <v/>
      </c>
      <c r="M206" s="29" t="str">
        <f ca="1">IFERROR(__xludf.DUMMYFUNCTION("""COMPUTED_VALUE"""),"")</f>
        <v/>
      </c>
      <c r="N206" s="29" t="str">
        <f ca="1">IFERROR(__xludf.DUMMYFUNCTION("""COMPUTED_VALUE"""),"")</f>
        <v/>
      </c>
    </row>
    <row r="207" spans="2:14" ht="12.5">
      <c r="B207" s="2"/>
      <c r="C207" s="2" t="str">
        <f ca="1">IFERROR(__xludf.DUMMYFUNCTION("""COMPUTED_VALUE"""),"")</f>
        <v/>
      </c>
      <c r="D207" s="2" t="str">
        <f ca="1">IFERROR(__xludf.DUMMYFUNCTION("""COMPUTED_VALUE"""),"")</f>
        <v/>
      </c>
      <c r="E207" s="29" t="str">
        <f ca="1">IFERROR(__xludf.DUMMYFUNCTION("""COMPUTED_VALUE"""),"")</f>
        <v/>
      </c>
      <c r="F207" s="30" t="str">
        <f ca="1">IFERROR(__xludf.DUMMYFUNCTION("""COMPUTED_VALUE"""),"")</f>
        <v/>
      </c>
      <c r="G207" s="29" t="str">
        <f ca="1">IFERROR(__xludf.DUMMYFUNCTION("""COMPUTED_VALUE"""),"")</f>
        <v/>
      </c>
      <c r="H207" s="30" t="str">
        <f ca="1">IFERROR(__xludf.DUMMYFUNCTION("""COMPUTED_VALUE"""),"")</f>
        <v/>
      </c>
      <c r="I207" s="29" t="str">
        <f ca="1">IFERROR(__xludf.DUMMYFUNCTION("""COMPUTED_VALUE"""),"")</f>
        <v/>
      </c>
      <c r="J207" s="29" t="str">
        <f ca="1">IFERROR(__xludf.DUMMYFUNCTION("""COMPUTED_VALUE"""),"")</f>
        <v/>
      </c>
      <c r="K207" s="29" t="str">
        <f ca="1">IFERROR(__xludf.DUMMYFUNCTION("""COMPUTED_VALUE"""),"")</f>
        <v/>
      </c>
      <c r="L207" s="29" t="str">
        <f ca="1">IFERROR(__xludf.DUMMYFUNCTION("""COMPUTED_VALUE"""),"")</f>
        <v/>
      </c>
      <c r="M207" s="29" t="str">
        <f ca="1">IFERROR(__xludf.DUMMYFUNCTION("""COMPUTED_VALUE"""),"")</f>
        <v/>
      </c>
      <c r="N207" s="29" t="str">
        <f ca="1">IFERROR(__xludf.DUMMYFUNCTION("""COMPUTED_VALUE"""),"")</f>
        <v/>
      </c>
    </row>
    <row r="208" spans="2:14" ht="12.5">
      <c r="B208" s="2"/>
      <c r="C208" s="2" t="str">
        <f ca="1">IFERROR(__xludf.DUMMYFUNCTION("""COMPUTED_VALUE"""),"")</f>
        <v/>
      </c>
      <c r="D208" s="2" t="str">
        <f ca="1">IFERROR(__xludf.DUMMYFUNCTION("""COMPUTED_VALUE"""),"")</f>
        <v/>
      </c>
      <c r="E208" s="29" t="str">
        <f ca="1">IFERROR(__xludf.DUMMYFUNCTION("""COMPUTED_VALUE"""),"")</f>
        <v/>
      </c>
      <c r="F208" s="30" t="str">
        <f ca="1">IFERROR(__xludf.DUMMYFUNCTION("""COMPUTED_VALUE"""),"")</f>
        <v/>
      </c>
      <c r="G208" s="29" t="str">
        <f ca="1">IFERROR(__xludf.DUMMYFUNCTION("""COMPUTED_VALUE"""),"")</f>
        <v/>
      </c>
      <c r="H208" s="30" t="str">
        <f ca="1">IFERROR(__xludf.DUMMYFUNCTION("""COMPUTED_VALUE"""),"")</f>
        <v/>
      </c>
      <c r="I208" s="29" t="str">
        <f ca="1">IFERROR(__xludf.DUMMYFUNCTION("""COMPUTED_VALUE"""),"")</f>
        <v/>
      </c>
      <c r="J208" s="29" t="str">
        <f ca="1">IFERROR(__xludf.DUMMYFUNCTION("""COMPUTED_VALUE"""),"")</f>
        <v/>
      </c>
      <c r="K208" s="29" t="str">
        <f ca="1">IFERROR(__xludf.DUMMYFUNCTION("""COMPUTED_VALUE"""),"")</f>
        <v/>
      </c>
      <c r="L208" s="29" t="str">
        <f ca="1">IFERROR(__xludf.DUMMYFUNCTION("""COMPUTED_VALUE"""),"")</f>
        <v/>
      </c>
      <c r="M208" s="29" t="str">
        <f ca="1">IFERROR(__xludf.DUMMYFUNCTION("""COMPUTED_VALUE"""),"")</f>
        <v/>
      </c>
      <c r="N208" s="29" t="str">
        <f ca="1">IFERROR(__xludf.DUMMYFUNCTION("""COMPUTED_VALUE"""),"")</f>
        <v/>
      </c>
    </row>
    <row r="209" spans="2:14" ht="12.5">
      <c r="B209" s="2"/>
      <c r="C209" s="2" t="str">
        <f ca="1">IFERROR(__xludf.DUMMYFUNCTION("""COMPUTED_VALUE"""),"")</f>
        <v/>
      </c>
      <c r="D209" s="2" t="str">
        <f ca="1">IFERROR(__xludf.DUMMYFUNCTION("""COMPUTED_VALUE"""),"")</f>
        <v/>
      </c>
      <c r="E209" s="29" t="str">
        <f ca="1">IFERROR(__xludf.DUMMYFUNCTION("""COMPUTED_VALUE"""),"")</f>
        <v/>
      </c>
      <c r="F209" s="30" t="str">
        <f ca="1">IFERROR(__xludf.DUMMYFUNCTION("""COMPUTED_VALUE"""),"")</f>
        <v/>
      </c>
      <c r="G209" s="29" t="str">
        <f ca="1">IFERROR(__xludf.DUMMYFUNCTION("""COMPUTED_VALUE"""),"")</f>
        <v/>
      </c>
      <c r="H209" s="30" t="str">
        <f ca="1">IFERROR(__xludf.DUMMYFUNCTION("""COMPUTED_VALUE"""),"")</f>
        <v/>
      </c>
      <c r="I209" s="29" t="str">
        <f ca="1">IFERROR(__xludf.DUMMYFUNCTION("""COMPUTED_VALUE"""),"")</f>
        <v/>
      </c>
      <c r="J209" s="29" t="str">
        <f ca="1">IFERROR(__xludf.DUMMYFUNCTION("""COMPUTED_VALUE"""),"")</f>
        <v/>
      </c>
      <c r="K209" s="29" t="str">
        <f ca="1">IFERROR(__xludf.DUMMYFUNCTION("""COMPUTED_VALUE"""),"")</f>
        <v/>
      </c>
      <c r="L209" s="29" t="str">
        <f ca="1">IFERROR(__xludf.DUMMYFUNCTION("""COMPUTED_VALUE"""),"")</f>
        <v/>
      </c>
      <c r="M209" s="29" t="str">
        <f ca="1">IFERROR(__xludf.DUMMYFUNCTION("""COMPUTED_VALUE"""),"")</f>
        <v/>
      </c>
      <c r="N209" s="29" t="str">
        <f ca="1">IFERROR(__xludf.DUMMYFUNCTION("""COMPUTED_VALUE"""),"")</f>
        <v/>
      </c>
    </row>
    <row r="210" spans="2:14" ht="12.5">
      <c r="B210" s="2"/>
      <c r="C210" s="2" t="str">
        <f ca="1">IFERROR(__xludf.DUMMYFUNCTION("""COMPUTED_VALUE"""),"")</f>
        <v/>
      </c>
      <c r="D210" s="2" t="str">
        <f ca="1">IFERROR(__xludf.DUMMYFUNCTION("""COMPUTED_VALUE"""),"")</f>
        <v/>
      </c>
      <c r="E210" s="29" t="str">
        <f ca="1">IFERROR(__xludf.DUMMYFUNCTION("""COMPUTED_VALUE"""),"")</f>
        <v/>
      </c>
      <c r="F210" s="30" t="str">
        <f ca="1">IFERROR(__xludf.DUMMYFUNCTION("""COMPUTED_VALUE"""),"")</f>
        <v/>
      </c>
      <c r="G210" s="29" t="str">
        <f ca="1">IFERROR(__xludf.DUMMYFUNCTION("""COMPUTED_VALUE"""),"")</f>
        <v/>
      </c>
      <c r="H210" s="30" t="str">
        <f ca="1">IFERROR(__xludf.DUMMYFUNCTION("""COMPUTED_VALUE"""),"")</f>
        <v/>
      </c>
      <c r="I210" s="29" t="str">
        <f ca="1">IFERROR(__xludf.DUMMYFUNCTION("""COMPUTED_VALUE"""),"")</f>
        <v/>
      </c>
      <c r="J210" s="29" t="str">
        <f ca="1">IFERROR(__xludf.DUMMYFUNCTION("""COMPUTED_VALUE"""),"")</f>
        <v/>
      </c>
      <c r="K210" s="29" t="str">
        <f ca="1">IFERROR(__xludf.DUMMYFUNCTION("""COMPUTED_VALUE"""),"")</f>
        <v/>
      </c>
      <c r="L210" s="29" t="str">
        <f ca="1">IFERROR(__xludf.DUMMYFUNCTION("""COMPUTED_VALUE"""),"")</f>
        <v/>
      </c>
      <c r="M210" s="29" t="str">
        <f ca="1">IFERROR(__xludf.DUMMYFUNCTION("""COMPUTED_VALUE"""),"")</f>
        <v/>
      </c>
      <c r="N210" s="29" t="str">
        <f ca="1">IFERROR(__xludf.DUMMYFUNCTION("""COMPUTED_VALUE"""),"")</f>
        <v/>
      </c>
    </row>
    <row r="211" spans="2:14" ht="12.5">
      <c r="B211" s="2"/>
      <c r="C211" s="2" t="str">
        <f ca="1">IFERROR(__xludf.DUMMYFUNCTION("""COMPUTED_VALUE"""),"")</f>
        <v/>
      </c>
      <c r="D211" s="2" t="str">
        <f ca="1">IFERROR(__xludf.DUMMYFUNCTION("""COMPUTED_VALUE"""),"")</f>
        <v/>
      </c>
      <c r="E211" s="29" t="str">
        <f ca="1">IFERROR(__xludf.DUMMYFUNCTION("""COMPUTED_VALUE"""),"")</f>
        <v/>
      </c>
      <c r="F211" s="30" t="str">
        <f ca="1">IFERROR(__xludf.DUMMYFUNCTION("""COMPUTED_VALUE"""),"")</f>
        <v/>
      </c>
      <c r="G211" s="29" t="str">
        <f ca="1">IFERROR(__xludf.DUMMYFUNCTION("""COMPUTED_VALUE"""),"")</f>
        <v/>
      </c>
      <c r="H211" s="30" t="str">
        <f ca="1">IFERROR(__xludf.DUMMYFUNCTION("""COMPUTED_VALUE"""),"")</f>
        <v/>
      </c>
      <c r="I211" s="29" t="str">
        <f ca="1">IFERROR(__xludf.DUMMYFUNCTION("""COMPUTED_VALUE"""),"")</f>
        <v/>
      </c>
      <c r="J211" s="29" t="str">
        <f ca="1">IFERROR(__xludf.DUMMYFUNCTION("""COMPUTED_VALUE"""),"")</f>
        <v/>
      </c>
      <c r="K211" s="29" t="str">
        <f ca="1">IFERROR(__xludf.DUMMYFUNCTION("""COMPUTED_VALUE"""),"")</f>
        <v/>
      </c>
      <c r="L211" s="29" t="str">
        <f ca="1">IFERROR(__xludf.DUMMYFUNCTION("""COMPUTED_VALUE"""),"")</f>
        <v/>
      </c>
      <c r="M211" s="29" t="str">
        <f ca="1">IFERROR(__xludf.DUMMYFUNCTION("""COMPUTED_VALUE"""),"")</f>
        <v/>
      </c>
      <c r="N211" s="29" t="str">
        <f ca="1">IFERROR(__xludf.DUMMYFUNCTION("""COMPUTED_VALUE"""),"")</f>
        <v/>
      </c>
    </row>
    <row r="212" spans="2:14" ht="12.5">
      <c r="B212" s="2"/>
      <c r="C212" s="2" t="str">
        <f ca="1">IFERROR(__xludf.DUMMYFUNCTION("""COMPUTED_VALUE"""),"")</f>
        <v/>
      </c>
      <c r="D212" s="2" t="str">
        <f ca="1">IFERROR(__xludf.DUMMYFUNCTION("""COMPUTED_VALUE"""),"")</f>
        <v/>
      </c>
      <c r="E212" s="29" t="str">
        <f ca="1">IFERROR(__xludf.DUMMYFUNCTION("""COMPUTED_VALUE"""),"")</f>
        <v/>
      </c>
      <c r="F212" s="30" t="str">
        <f ca="1">IFERROR(__xludf.DUMMYFUNCTION("""COMPUTED_VALUE"""),"")</f>
        <v/>
      </c>
      <c r="G212" s="29" t="str">
        <f ca="1">IFERROR(__xludf.DUMMYFUNCTION("""COMPUTED_VALUE"""),"")</f>
        <v/>
      </c>
      <c r="H212" s="30" t="str">
        <f ca="1">IFERROR(__xludf.DUMMYFUNCTION("""COMPUTED_VALUE"""),"")</f>
        <v/>
      </c>
      <c r="I212" s="29" t="str">
        <f ca="1">IFERROR(__xludf.DUMMYFUNCTION("""COMPUTED_VALUE"""),"")</f>
        <v/>
      </c>
      <c r="J212" s="29" t="str">
        <f ca="1">IFERROR(__xludf.DUMMYFUNCTION("""COMPUTED_VALUE"""),"")</f>
        <v/>
      </c>
      <c r="K212" s="29" t="str">
        <f ca="1">IFERROR(__xludf.DUMMYFUNCTION("""COMPUTED_VALUE"""),"")</f>
        <v/>
      </c>
      <c r="L212" s="29" t="str">
        <f ca="1">IFERROR(__xludf.DUMMYFUNCTION("""COMPUTED_VALUE"""),"")</f>
        <v/>
      </c>
      <c r="M212" s="29" t="str">
        <f ca="1">IFERROR(__xludf.DUMMYFUNCTION("""COMPUTED_VALUE"""),"")</f>
        <v/>
      </c>
      <c r="N212" s="29" t="str">
        <f ca="1">IFERROR(__xludf.DUMMYFUNCTION("""COMPUTED_VALUE"""),"")</f>
        <v/>
      </c>
    </row>
    <row r="213" spans="2:14" ht="12.5">
      <c r="B213" s="2"/>
      <c r="C213" s="2" t="str">
        <f ca="1">IFERROR(__xludf.DUMMYFUNCTION("""COMPUTED_VALUE"""),"")</f>
        <v/>
      </c>
      <c r="D213" s="2" t="str">
        <f ca="1">IFERROR(__xludf.DUMMYFUNCTION("""COMPUTED_VALUE"""),"")</f>
        <v/>
      </c>
      <c r="E213" s="29" t="str">
        <f ca="1">IFERROR(__xludf.DUMMYFUNCTION("""COMPUTED_VALUE"""),"")</f>
        <v/>
      </c>
      <c r="F213" s="30" t="str">
        <f ca="1">IFERROR(__xludf.DUMMYFUNCTION("""COMPUTED_VALUE"""),"")</f>
        <v/>
      </c>
      <c r="G213" s="29" t="str">
        <f ca="1">IFERROR(__xludf.DUMMYFUNCTION("""COMPUTED_VALUE"""),"")</f>
        <v/>
      </c>
      <c r="H213" s="30" t="str">
        <f ca="1">IFERROR(__xludf.DUMMYFUNCTION("""COMPUTED_VALUE"""),"")</f>
        <v/>
      </c>
      <c r="I213" s="29" t="str">
        <f ca="1">IFERROR(__xludf.DUMMYFUNCTION("""COMPUTED_VALUE"""),"")</f>
        <v/>
      </c>
      <c r="J213" s="29" t="str">
        <f ca="1">IFERROR(__xludf.DUMMYFUNCTION("""COMPUTED_VALUE"""),"")</f>
        <v/>
      </c>
      <c r="K213" s="29" t="str">
        <f ca="1">IFERROR(__xludf.DUMMYFUNCTION("""COMPUTED_VALUE"""),"")</f>
        <v/>
      </c>
      <c r="L213" s="29" t="str">
        <f ca="1">IFERROR(__xludf.DUMMYFUNCTION("""COMPUTED_VALUE"""),"")</f>
        <v/>
      </c>
      <c r="M213" s="29" t="str">
        <f ca="1">IFERROR(__xludf.DUMMYFUNCTION("""COMPUTED_VALUE"""),"")</f>
        <v/>
      </c>
      <c r="N213" s="29" t="str">
        <f ca="1">IFERROR(__xludf.DUMMYFUNCTION("""COMPUTED_VALUE"""),"")</f>
        <v/>
      </c>
    </row>
    <row r="214" spans="2:14" ht="12.5">
      <c r="B214" s="2"/>
      <c r="C214" s="2" t="str">
        <f ca="1">IFERROR(__xludf.DUMMYFUNCTION("""COMPUTED_VALUE"""),"")</f>
        <v/>
      </c>
      <c r="D214" s="2" t="str">
        <f ca="1">IFERROR(__xludf.DUMMYFUNCTION("""COMPUTED_VALUE"""),"")</f>
        <v/>
      </c>
      <c r="E214" s="29" t="str">
        <f ca="1">IFERROR(__xludf.DUMMYFUNCTION("""COMPUTED_VALUE"""),"")</f>
        <v/>
      </c>
      <c r="F214" s="30" t="str">
        <f ca="1">IFERROR(__xludf.DUMMYFUNCTION("""COMPUTED_VALUE"""),"")</f>
        <v/>
      </c>
      <c r="G214" s="29" t="str">
        <f ca="1">IFERROR(__xludf.DUMMYFUNCTION("""COMPUTED_VALUE"""),"")</f>
        <v/>
      </c>
      <c r="H214" s="30" t="str">
        <f ca="1">IFERROR(__xludf.DUMMYFUNCTION("""COMPUTED_VALUE"""),"")</f>
        <v/>
      </c>
      <c r="I214" s="29" t="str">
        <f ca="1">IFERROR(__xludf.DUMMYFUNCTION("""COMPUTED_VALUE"""),"")</f>
        <v/>
      </c>
      <c r="J214" s="29" t="str">
        <f ca="1">IFERROR(__xludf.DUMMYFUNCTION("""COMPUTED_VALUE"""),"")</f>
        <v/>
      </c>
      <c r="K214" s="29" t="str">
        <f ca="1">IFERROR(__xludf.DUMMYFUNCTION("""COMPUTED_VALUE"""),"")</f>
        <v/>
      </c>
      <c r="L214" s="29" t="str">
        <f ca="1">IFERROR(__xludf.DUMMYFUNCTION("""COMPUTED_VALUE"""),"")</f>
        <v/>
      </c>
      <c r="M214" s="29" t="str">
        <f ca="1">IFERROR(__xludf.DUMMYFUNCTION("""COMPUTED_VALUE"""),"")</f>
        <v/>
      </c>
      <c r="N214" s="29" t="str">
        <f ca="1">IFERROR(__xludf.DUMMYFUNCTION("""COMPUTED_VALUE"""),"")</f>
        <v/>
      </c>
    </row>
    <row r="215" spans="2:14" ht="12.5">
      <c r="B215" s="2"/>
      <c r="C215" s="2" t="str">
        <f ca="1">IFERROR(__xludf.DUMMYFUNCTION("""COMPUTED_VALUE"""),"")</f>
        <v/>
      </c>
      <c r="D215" s="2" t="str">
        <f ca="1">IFERROR(__xludf.DUMMYFUNCTION("""COMPUTED_VALUE"""),"")</f>
        <v/>
      </c>
      <c r="E215" s="29" t="str">
        <f ca="1">IFERROR(__xludf.DUMMYFUNCTION("""COMPUTED_VALUE"""),"")</f>
        <v/>
      </c>
      <c r="F215" s="30" t="str">
        <f ca="1">IFERROR(__xludf.DUMMYFUNCTION("""COMPUTED_VALUE"""),"")</f>
        <v/>
      </c>
      <c r="G215" s="29" t="str">
        <f ca="1">IFERROR(__xludf.DUMMYFUNCTION("""COMPUTED_VALUE"""),"")</f>
        <v/>
      </c>
      <c r="H215" s="30" t="str">
        <f ca="1">IFERROR(__xludf.DUMMYFUNCTION("""COMPUTED_VALUE"""),"")</f>
        <v/>
      </c>
      <c r="I215" s="29" t="str">
        <f ca="1">IFERROR(__xludf.DUMMYFUNCTION("""COMPUTED_VALUE"""),"")</f>
        <v/>
      </c>
      <c r="J215" s="29" t="str">
        <f ca="1">IFERROR(__xludf.DUMMYFUNCTION("""COMPUTED_VALUE"""),"")</f>
        <v/>
      </c>
      <c r="K215" s="29" t="str">
        <f ca="1">IFERROR(__xludf.DUMMYFUNCTION("""COMPUTED_VALUE"""),"")</f>
        <v/>
      </c>
      <c r="L215" s="29" t="str">
        <f ca="1">IFERROR(__xludf.DUMMYFUNCTION("""COMPUTED_VALUE"""),"")</f>
        <v/>
      </c>
      <c r="M215" s="29" t="str">
        <f ca="1">IFERROR(__xludf.DUMMYFUNCTION("""COMPUTED_VALUE"""),"")</f>
        <v/>
      </c>
      <c r="N215" s="29" t="str">
        <f ca="1">IFERROR(__xludf.DUMMYFUNCTION("""COMPUTED_VALUE"""),"")</f>
        <v/>
      </c>
    </row>
    <row r="216" spans="2:14" ht="12.5">
      <c r="B216" s="2"/>
      <c r="C216" s="2" t="str">
        <f ca="1">IFERROR(__xludf.DUMMYFUNCTION("""COMPUTED_VALUE"""),"")</f>
        <v/>
      </c>
      <c r="D216" s="2" t="str">
        <f ca="1">IFERROR(__xludf.DUMMYFUNCTION("""COMPUTED_VALUE"""),"")</f>
        <v/>
      </c>
      <c r="E216" s="29" t="str">
        <f ca="1">IFERROR(__xludf.DUMMYFUNCTION("""COMPUTED_VALUE"""),"")</f>
        <v/>
      </c>
      <c r="F216" s="30" t="str">
        <f ca="1">IFERROR(__xludf.DUMMYFUNCTION("""COMPUTED_VALUE"""),"")</f>
        <v/>
      </c>
      <c r="G216" s="29" t="str">
        <f ca="1">IFERROR(__xludf.DUMMYFUNCTION("""COMPUTED_VALUE"""),"")</f>
        <v/>
      </c>
      <c r="H216" s="30" t="str">
        <f ca="1">IFERROR(__xludf.DUMMYFUNCTION("""COMPUTED_VALUE"""),"")</f>
        <v/>
      </c>
      <c r="I216" s="29" t="str">
        <f ca="1">IFERROR(__xludf.DUMMYFUNCTION("""COMPUTED_VALUE"""),"")</f>
        <v/>
      </c>
      <c r="J216" s="29" t="str">
        <f ca="1">IFERROR(__xludf.DUMMYFUNCTION("""COMPUTED_VALUE"""),"")</f>
        <v/>
      </c>
      <c r="K216" s="29" t="str">
        <f ca="1">IFERROR(__xludf.DUMMYFUNCTION("""COMPUTED_VALUE"""),"")</f>
        <v/>
      </c>
      <c r="L216" s="29" t="str">
        <f ca="1">IFERROR(__xludf.DUMMYFUNCTION("""COMPUTED_VALUE"""),"")</f>
        <v/>
      </c>
      <c r="M216" s="29" t="str">
        <f ca="1">IFERROR(__xludf.DUMMYFUNCTION("""COMPUTED_VALUE"""),"")</f>
        <v/>
      </c>
      <c r="N216" s="29" t="str">
        <f ca="1">IFERROR(__xludf.DUMMYFUNCTION("""COMPUTED_VALUE"""),"")</f>
        <v/>
      </c>
    </row>
    <row r="217" spans="2:14" ht="12.5">
      <c r="B217" s="2"/>
      <c r="C217" s="2" t="str">
        <f ca="1">IFERROR(__xludf.DUMMYFUNCTION("""COMPUTED_VALUE"""),"")</f>
        <v/>
      </c>
      <c r="D217" s="2" t="str">
        <f ca="1">IFERROR(__xludf.DUMMYFUNCTION("""COMPUTED_VALUE"""),"")</f>
        <v/>
      </c>
      <c r="E217" s="29" t="str">
        <f ca="1">IFERROR(__xludf.DUMMYFUNCTION("""COMPUTED_VALUE"""),"")</f>
        <v/>
      </c>
      <c r="F217" s="30" t="str">
        <f ca="1">IFERROR(__xludf.DUMMYFUNCTION("""COMPUTED_VALUE"""),"")</f>
        <v/>
      </c>
      <c r="G217" s="29" t="str">
        <f ca="1">IFERROR(__xludf.DUMMYFUNCTION("""COMPUTED_VALUE"""),"")</f>
        <v/>
      </c>
      <c r="H217" s="30" t="str">
        <f ca="1">IFERROR(__xludf.DUMMYFUNCTION("""COMPUTED_VALUE"""),"")</f>
        <v/>
      </c>
      <c r="I217" s="29" t="str">
        <f ca="1">IFERROR(__xludf.DUMMYFUNCTION("""COMPUTED_VALUE"""),"")</f>
        <v/>
      </c>
      <c r="J217" s="29" t="str">
        <f ca="1">IFERROR(__xludf.DUMMYFUNCTION("""COMPUTED_VALUE"""),"")</f>
        <v/>
      </c>
      <c r="K217" s="29" t="str">
        <f ca="1">IFERROR(__xludf.DUMMYFUNCTION("""COMPUTED_VALUE"""),"")</f>
        <v/>
      </c>
      <c r="L217" s="29" t="str">
        <f ca="1">IFERROR(__xludf.DUMMYFUNCTION("""COMPUTED_VALUE"""),"")</f>
        <v/>
      </c>
      <c r="M217" s="29" t="str">
        <f ca="1">IFERROR(__xludf.DUMMYFUNCTION("""COMPUTED_VALUE"""),"")</f>
        <v/>
      </c>
      <c r="N217" s="29" t="str">
        <f ca="1">IFERROR(__xludf.DUMMYFUNCTION("""COMPUTED_VALUE"""),"")</f>
        <v/>
      </c>
    </row>
    <row r="218" spans="2:14" ht="12.5">
      <c r="B218" s="2"/>
      <c r="C218" s="2" t="str">
        <f ca="1">IFERROR(__xludf.DUMMYFUNCTION("""COMPUTED_VALUE"""),"")</f>
        <v/>
      </c>
      <c r="D218" s="2" t="str">
        <f ca="1">IFERROR(__xludf.DUMMYFUNCTION("""COMPUTED_VALUE"""),"")</f>
        <v/>
      </c>
      <c r="E218" s="29" t="str">
        <f ca="1">IFERROR(__xludf.DUMMYFUNCTION("""COMPUTED_VALUE"""),"")</f>
        <v/>
      </c>
      <c r="F218" s="30" t="str">
        <f ca="1">IFERROR(__xludf.DUMMYFUNCTION("""COMPUTED_VALUE"""),"")</f>
        <v/>
      </c>
      <c r="G218" s="29" t="str">
        <f ca="1">IFERROR(__xludf.DUMMYFUNCTION("""COMPUTED_VALUE"""),"")</f>
        <v/>
      </c>
      <c r="H218" s="30" t="str">
        <f ca="1">IFERROR(__xludf.DUMMYFUNCTION("""COMPUTED_VALUE"""),"")</f>
        <v/>
      </c>
      <c r="I218" s="29" t="str">
        <f ca="1">IFERROR(__xludf.DUMMYFUNCTION("""COMPUTED_VALUE"""),"")</f>
        <v/>
      </c>
      <c r="J218" s="29" t="str">
        <f ca="1">IFERROR(__xludf.DUMMYFUNCTION("""COMPUTED_VALUE"""),"")</f>
        <v/>
      </c>
      <c r="K218" s="29" t="str">
        <f ca="1">IFERROR(__xludf.DUMMYFUNCTION("""COMPUTED_VALUE"""),"")</f>
        <v/>
      </c>
      <c r="L218" s="29" t="str">
        <f ca="1">IFERROR(__xludf.DUMMYFUNCTION("""COMPUTED_VALUE"""),"")</f>
        <v/>
      </c>
      <c r="M218" s="29" t="str">
        <f ca="1">IFERROR(__xludf.DUMMYFUNCTION("""COMPUTED_VALUE"""),"")</f>
        <v/>
      </c>
      <c r="N218" s="29" t="str">
        <f ca="1">IFERROR(__xludf.DUMMYFUNCTION("""COMPUTED_VALUE"""),"")</f>
        <v/>
      </c>
    </row>
    <row r="219" spans="2:14" ht="12.5">
      <c r="B219" s="2"/>
      <c r="C219" s="2" t="str">
        <f ca="1">IFERROR(__xludf.DUMMYFUNCTION("""COMPUTED_VALUE"""),"")</f>
        <v/>
      </c>
      <c r="D219" s="2" t="str">
        <f ca="1">IFERROR(__xludf.DUMMYFUNCTION("""COMPUTED_VALUE"""),"")</f>
        <v/>
      </c>
      <c r="E219" s="29" t="str">
        <f ca="1">IFERROR(__xludf.DUMMYFUNCTION("""COMPUTED_VALUE"""),"")</f>
        <v/>
      </c>
      <c r="F219" s="30" t="str">
        <f ca="1">IFERROR(__xludf.DUMMYFUNCTION("""COMPUTED_VALUE"""),"")</f>
        <v/>
      </c>
      <c r="G219" s="29" t="str">
        <f ca="1">IFERROR(__xludf.DUMMYFUNCTION("""COMPUTED_VALUE"""),"")</f>
        <v/>
      </c>
      <c r="H219" s="30" t="str">
        <f ca="1">IFERROR(__xludf.DUMMYFUNCTION("""COMPUTED_VALUE"""),"")</f>
        <v/>
      </c>
      <c r="I219" s="29" t="str">
        <f ca="1">IFERROR(__xludf.DUMMYFUNCTION("""COMPUTED_VALUE"""),"")</f>
        <v/>
      </c>
      <c r="J219" s="29" t="str">
        <f ca="1">IFERROR(__xludf.DUMMYFUNCTION("""COMPUTED_VALUE"""),"")</f>
        <v/>
      </c>
      <c r="K219" s="29" t="str">
        <f ca="1">IFERROR(__xludf.DUMMYFUNCTION("""COMPUTED_VALUE"""),"")</f>
        <v/>
      </c>
      <c r="L219" s="29" t="str">
        <f ca="1">IFERROR(__xludf.DUMMYFUNCTION("""COMPUTED_VALUE"""),"")</f>
        <v/>
      </c>
      <c r="M219" s="29" t="str">
        <f ca="1">IFERROR(__xludf.DUMMYFUNCTION("""COMPUTED_VALUE"""),"")</f>
        <v/>
      </c>
      <c r="N219" s="29" t="str">
        <f ca="1">IFERROR(__xludf.DUMMYFUNCTION("""COMPUTED_VALUE"""),"")</f>
        <v/>
      </c>
    </row>
    <row r="220" spans="2:14" ht="12.5">
      <c r="B220" s="2"/>
      <c r="C220" s="2" t="str">
        <f ca="1">IFERROR(__xludf.DUMMYFUNCTION("""COMPUTED_VALUE"""),"")</f>
        <v/>
      </c>
      <c r="D220" s="2" t="str">
        <f ca="1">IFERROR(__xludf.DUMMYFUNCTION("""COMPUTED_VALUE"""),"")</f>
        <v/>
      </c>
      <c r="E220" s="29" t="str">
        <f ca="1">IFERROR(__xludf.DUMMYFUNCTION("""COMPUTED_VALUE"""),"")</f>
        <v/>
      </c>
      <c r="F220" s="30" t="str">
        <f ca="1">IFERROR(__xludf.DUMMYFUNCTION("""COMPUTED_VALUE"""),"")</f>
        <v/>
      </c>
      <c r="G220" s="29" t="str">
        <f ca="1">IFERROR(__xludf.DUMMYFUNCTION("""COMPUTED_VALUE"""),"")</f>
        <v/>
      </c>
      <c r="H220" s="30" t="str">
        <f ca="1">IFERROR(__xludf.DUMMYFUNCTION("""COMPUTED_VALUE"""),"")</f>
        <v/>
      </c>
      <c r="I220" s="29" t="str">
        <f ca="1">IFERROR(__xludf.DUMMYFUNCTION("""COMPUTED_VALUE"""),"")</f>
        <v/>
      </c>
      <c r="J220" s="29" t="str">
        <f ca="1">IFERROR(__xludf.DUMMYFUNCTION("""COMPUTED_VALUE"""),"")</f>
        <v/>
      </c>
      <c r="K220" s="29" t="str">
        <f ca="1">IFERROR(__xludf.DUMMYFUNCTION("""COMPUTED_VALUE"""),"")</f>
        <v/>
      </c>
      <c r="L220" s="29" t="str">
        <f ca="1">IFERROR(__xludf.DUMMYFUNCTION("""COMPUTED_VALUE"""),"")</f>
        <v/>
      </c>
      <c r="M220" s="29" t="str">
        <f ca="1">IFERROR(__xludf.DUMMYFUNCTION("""COMPUTED_VALUE"""),"")</f>
        <v/>
      </c>
      <c r="N220" s="29" t="str">
        <f ca="1">IFERROR(__xludf.DUMMYFUNCTION("""COMPUTED_VALUE"""),"")</f>
        <v/>
      </c>
    </row>
    <row r="221" spans="2:14" ht="12.5">
      <c r="B221" s="2"/>
      <c r="C221" s="2" t="str">
        <f ca="1">IFERROR(__xludf.DUMMYFUNCTION("""COMPUTED_VALUE"""),"")</f>
        <v/>
      </c>
      <c r="D221" s="2" t="str">
        <f ca="1">IFERROR(__xludf.DUMMYFUNCTION("""COMPUTED_VALUE"""),"")</f>
        <v/>
      </c>
      <c r="E221" s="29" t="str">
        <f ca="1">IFERROR(__xludf.DUMMYFUNCTION("""COMPUTED_VALUE"""),"")</f>
        <v/>
      </c>
      <c r="F221" s="30" t="str">
        <f ca="1">IFERROR(__xludf.DUMMYFUNCTION("""COMPUTED_VALUE"""),"")</f>
        <v/>
      </c>
      <c r="G221" s="29" t="str">
        <f ca="1">IFERROR(__xludf.DUMMYFUNCTION("""COMPUTED_VALUE"""),"")</f>
        <v/>
      </c>
      <c r="H221" s="30" t="str">
        <f ca="1">IFERROR(__xludf.DUMMYFUNCTION("""COMPUTED_VALUE"""),"")</f>
        <v/>
      </c>
      <c r="I221" s="29" t="str">
        <f ca="1">IFERROR(__xludf.DUMMYFUNCTION("""COMPUTED_VALUE"""),"")</f>
        <v/>
      </c>
      <c r="J221" s="29" t="str">
        <f ca="1">IFERROR(__xludf.DUMMYFUNCTION("""COMPUTED_VALUE"""),"")</f>
        <v/>
      </c>
      <c r="K221" s="29" t="str">
        <f ca="1">IFERROR(__xludf.DUMMYFUNCTION("""COMPUTED_VALUE"""),"")</f>
        <v/>
      </c>
      <c r="L221" s="29" t="str">
        <f ca="1">IFERROR(__xludf.DUMMYFUNCTION("""COMPUTED_VALUE"""),"")</f>
        <v/>
      </c>
      <c r="M221" s="29" t="str">
        <f ca="1">IFERROR(__xludf.DUMMYFUNCTION("""COMPUTED_VALUE"""),"")</f>
        <v/>
      </c>
      <c r="N221" s="29" t="str">
        <f ca="1">IFERROR(__xludf.DUMMYFUNCTION("""COMPUTED_VALUE"""),"")</f>
        <v/>
      </c>
    </row>
    <row r="222" spans="2:14" ht="12.5">
      <c r="B222" s="2"/>
      <c r="C222" s="2" t="str">
        <f ca="1">IFERROR(__xludf.DUMMYFUNCTION("""COMPUTED_VALUE"""),"")</f>
        <v/>
      </c>
      <c r="D222" s="2" t="str">
        <f ca="1">IFERROR(__xludf.DUMMYFUNCTION("""COMPUTED_VALUE"""),"")</f>
        <v/>
      </c>
      <c r="E222" s="29" t="str">
        <f ca="1">IFERROR(__xludf.DUMMYFUNCTION("""COMPUTED_VALUE"""),"")</f>
        <v/>
      </c>
      <c r="F222" s="30" t="str">
        <f ca="1">IFERROR(__xludf.DUMMYFUNCTION("""COMPUTED_VALUE"""),"")</f>
        <v/>
      </c>
      <c r="G222" s="29" t="str">
        <f ca="1">IFERROR(__xludf.DUMMYFUNCTION("""COMPUTED_VALUE"""),"")</f>
        <v/>
      </c>
      <c r="H222" s="30" t="str">
        <f ca="1">IFERROR(__xludf.DUMMYFUNCTION("""COMPUTED_VALUE"""),"")</f>
        <v/>
      </c>
      <c r="I222" s="29" t="str">
        <f ca="1">IFERROR(__xludf.DUMMYFUNCTION("""COMPUTED_VALUE"""),"")</f>
        <v/>
      </c>
      <c r="J222" s="29" t="str">
        <f ca="1">IFERROR(__xludf.DUMMYFUNCTION("""COMPUTED_VALUE"""),"")</f>
        <v/>
      </c>
      <c r="K222" s="29" t="str">
        <f ca="1">IFERROR(__xludf.DUMMYFUNCTION("""COMPUTED_VALUE"""),"")</f>
        <v/>
      </c>
      <c r="L222" s="29" t="str">
        <f ca="1">IFERROR(__xludf.DUMMYFUNCTION("""COMPUTED_VALUE"""),"")</f>
        <v/>
      </c>
      <c r="M222" s="29" t="str">
        <f ca="1">IFERROR(__xludf.DUMMYFUNCTION("""COMPUTED_VALUE"""),"")</f>
        <v/>
      </c>
      <c r="N222" s="29" t="str">
        <f ca="1">IFERROR(__xludf.DUMMYFUNCTION("""COMPUTED_VALUE"""),"")</f>
        <v/>
      </c>
    </row>
    <row r="223" spans="2:14" ht="12.5">
      <c r="B223" s="2"/>
      <c r="C223" s="2" t="str">
        <f ca="1">IFERROR(__xludf.DUMMYFUNCTION("""COMPUTED_VALUE"""),"")</f>
        <v/>
      </c>
      <c r="D223" s="2" t="str">
        <f ca="1">IFERROR(__xludf.DUMMYFUNCTION("""COMPUTED_VALUE"""),"")</f>
        <v/>
      </c>
      <c r="E223" s="29" t="str">
        <f ca="1">IFERROR(__xludf.DUMMYFUNCTION("""COMPUTED_VALUE"""),"")</f>
        <v/>
      </c>
      <c r="F223" s="30" t="str">
        <f ca="1">IFERROR(__xludf.DUMMYFUNCTION("""COMPUTED_VALUE"""),"")</f>
        <v/>
      </c>
      <c r="G223" s="29" t="str">
        <f ca="1">IFERROR(__xludf.DUMMYFUNCTION("""COMPUTED_VALUE"""),"")</f>
        <v/>
      </c>
      <c r="H223" s="30" t="str">
        <f ca="1">IFERROR(__xludf.DUMMYFUNCTION("""COMPUTED_VALUE"""),"")</f>
        <v/>
      </c>
      <c r="I223" s="29" t="str">
        <f ca="1">IFERROR(__xludf.DUMMYFUNCTION("""COMPUTED_VALUE"""),"")</f>
        <v/>
      </c>
      <c r="J223" s="29" t="str">
        <f ca="1">IFERROR(__xludf.DUMMYFUNCTION("""COMPUTED_VALUE"""),"")</f>
        <v/>
      </c>
      <c r="K223" s="29" t="str">
        <f ca="1">IFERROR(__xludf.DUMMYFUNCTION("""COMPUTED_VALUE"""),"")</f>
        <v/>
      </c>
      <c r="L223" s="29" t="str">
        <f ca="1">IFERROR(__xludf.DUMMYFUNCTION("""COMPUTED_VALUE"""),"")</f>
        <v/>
      </c>
      <c r="M223" s="29" t="str">
        <f ca="1">IFERROR(__xludf.DUMMYFUNCTION("""COMPUTED_VALUE"""),"")</f>
        <v/>
      </c>
      <c r="N223" s="29" t="str">
        <f ca="1">IFERROR(__xludf.DUMMYFUNCTION("""COMPUTED_VALUE"""),"")</f>
        <v/>
      </c>
    </row>
    <row r="224" spans="2:14" ht="12.5">
      <c r="B224" s="2"/>
      <c r="C224" s="2" t="str">
        <f ca="1">IFERROR(__xludf.DUMMYFUNCTION("""COMPUTED_VALUE"""),"")</f>
        <v/>
      </c>
      <c r="D224" s="2" t="str">
        <f ca="1">IFERROR(__xludf.DUMMYFUNCTION("""COMPUTED_VALUE"""),"")</f>
        <v/>
      </c>
      <c r="E224" s="29" t="str">
        <f ca="1">IFERROR(__xludf.DUMMYFUNCTION("""COMPUTED_VALUE"""),"")</f>
        <v/>
      </c>
      <c r="F224" s="30" t="str">
        <f ca="1">IFERROR(__xludf.DUMMYFUNCTION("""COMPUTED_VALUE"""),"")</f>
        <v/>
      </c>
      <c r="G224" s="29" t="str">
        <f ca="1">IFERROR(__xludf.DUMMYFUNCTION("""COMPUTED_VALUE"""),"")</f>
        <v/>
      </c>
      <c r="H224" s="30" t="str">
        <f ca="1">IFERROR(__xludf.DUMMYFUNCTION("""COMPUTED_VALUE"""),"")</f>
        <v/>
      </c>
      <c r="I224" s="29" t="str">
        <f ca="1">IFERROR(__xludf.DUMMYFUNCTION("""COMPUTED_VALUE"""),"")</f>
        <v/>
      </c>
      <c r="J224" s="29" t="str">
        <f ca="1">IFERROR(__xludf.DUMMYFUNCTION("""COMPUTED_VALUE"""),"")</f>
        <v/>
      </c>
      <c r="K224" s="29" t="str">
        <f ca="1">IFERROR(__xludf.DUMMYFUNCTION("""COMPUTED_VALUE"""),"")</f>
        <v/>
      </c>
      <c r="L224" s="29" t="str">
        <f ca="1">IFERROR(__xludf.DUMMYFUNCTION("""COMPUTED_VALUE"""),"")</f>
        <v/>
      </c>
      <c r="M224" s="29" t="str">
        <f ca="1">IFERROR(__xludf.DUMMYFUNCTION("""COMPUTED_VALUE"""),"")</f>
        <v/>
      </c>
      <c r="N224" s="29" t="str">
        <f ca="1">IFERROR(__xludf.DUMMYFUNCTION("""COMPUTED_VALUE"""),"")</f>
        <v/>
      </c>
    </row>
    <row r="225" spans="2:14" ht="12.5">
      <c r="B225" s="2"/>
      <c r="C225" s="2" t="str">
        <f ca="1">IFERROR(__xludf.DUMMYFUNCTION("""COMPUTED_VALUE"""),"")</f>
        <v/>
      </c>
      <c r="D225" s="2" t="str">
        <f ca="1">IFERROR(__xludf.DUMMYFUNCTION("""COMPUTED_VALUE"""),"")</f>
        <v/>
      </c>
      <c r="E225" s="29" t="str">
        <f ca="1">IFERROR(__xludf.DUMMYFUNCTION("""COMPUTED_VALUE"""),"")</f>
        <v/>
      </c>
      <c r="F225" s="30" t="str">
        <f ca="1">IFERROR(__xludf.DUMMYFUNCTION("""COMPUTED_VALUE"""),"")</f>
        <v/>
      </c>
      <c r="G225" s="29" t="str">
        <f ca="1">IFERROR(__xludf.DUMMYFUNCTION("""COMPUTED_VALUE"""),"")</f>
        <v/>
      </c>
      <c r="H225" s="30" t="str">
        <f ca="1">IFERROR(__xludf.DUMMYFUNCTION("""COMPUTED_VALUE"""),"")</f>
        <v/>
      </c>
      <c r="I225" s="29" t="str">
        <f ca="1">IFERROR(__xludf.DUMMYFUNCTION("""COMPUTED_VALUE"""),"")</f>
        <v/>
      </c>
      <c r="J225" s="29" t="str">
        <f ca="1">IFERROR(__xludf.DUMMYFUNCTION("""COMPUTED_VALUE"""),"")</f>
        <v/>
      </c>
      <c r="K225" s="29" t="str">
        <f ca="1">IFERROR(__xludf.DUMMYFUNCTION("""COMPUTED_VALUE"""),"")</f>
        <v/>
      </c>
      <c r="L225" s="29" t="str">
        <f ca="1">IFERROR(__xludf.DUMMYFUNCTION("""COMPUTED_VALUE"""),"")</f>
        <v/>
      </c>
      <c r="M225" s="29" t="str">
        <f ca="1">IFERROR(__xludf.DUMMYFUNCTION("""COMPUTED_VALUE"""),"")</f>
        <v/>
      </c>
      <c r="N225" s="29" t="str">
        <f ca="1">IFERROR(__xludf.DUMMYFUNCTION("""COMPUTED_VALUE"""),"")</f>
        <v/>
      </c>
    </row>
    <row r="226" spans="2:14" ht="12.5">
      <c r="B226" s="2"/>
      <c r="C226" s="2" t="str">
        <f ca="1">IFERROR(__xludf.DUMMYFUNCTION("""COMPUTED_VALUE"""),"")</f>
        <v/>
      </c>
      <c r="D226" s="2" t="str">
        <f ca="1">IFERROR(__xludf.DUMMYFUNCTION("""COMPUTED_VALUE"""),"")</f>
        <v/>
      </c>
      <c r="E226" s="29" t="str">
        <f ca="1">IFERROR(__xludf.DUMMYFUNCTION("""COMPUTED_VALUE"""),"")</f>
        <v/>
      </c>
      <c r="F226" s="30" t="str">
        <f ca="1">IFERROR(__xludf.DUMMYFUNCTION("""COMPUTED_VALUE"""),"")</f>
        <v/>
      </c>
      <c r="G226" s="29" t="str">
        <f ca="1">IFERROR(__xludf.DUMMYFUNCTION("""COMPUTED_VALUE"""),"")</f>
        <v/>
      </c>
      <c r="H226" s="30" t="str">
        <f ca="1">IFERROR(__xludf.DUMMYFUNCTION("""COMPUTED_VALUE"""),"")</f>
        <v/>
      </c>
      <c r="I226" s="29" t="str">
        <f ca="1">IFERROR(__xludf.DUMMYFUNCTION("""COMPUTED_VALUE"""),"")</f>
        <v/>
      </c>
      <c r="J226" s="29" t="str">
        <f ca="1">IFERROR(__xludf.DUMMYFUNCTION("""COMPUTED_VALUE"""),"")</f>
        <v/>
      </c>
      <c r="K226" s="29" t="str">
        <f ca="1">IFERROR(__xludf.DUMMYFUNCTION("""COMPUTED_VALUE"""),"")</f>
        <v/>
      </c>
      <c r="L226" s="29" t="str">
        <f ca="1">IFERROR(__xludf.DUMMYFUNCTION("""COMPUTED_VALUE"""),"")</f>
        <v/>
      </c>
      <c r="M226" s="29" t="str">
        <f ca="1">IFERROR(__xludf.DUMMYFUNCTION("""COMPUTED_VALUE"""),"")</f>
        <v/>
      </c>
      <c r="N226" s="29" t="str">
        <f ca="1">IFERROR(__xludf.DUMMYFUNCTION("""COMPUTED_VALUE"""),"")</f>
        <v/>
      </c>
    </row>
    <row r="227" spans="2:14" ht="12.5">
      <c r="B227" s="2"/>
      <c r="C227" s="2" t="str">
        <f ca="1">IFERROR(__xludf.DUMMYFUNCTION("""COMPUTED_VALUE"""),"")</f>
        <v/>
      </c>
      <c r="D227" s="2" t="str">
        <f ca="1">IFERROR(__xludf.DUMMYFUNCTION("""COMPUTED_VALUE"""),"")</f>
        <v/>
      </c>
      <c r="E227" s="29" t="str">
        <f ca="1">IFERROR(__xludf.DUMMYFUNCTION("""COMPUTED_VALUE"""),"")</f>
        <v/>
      </c>
      <c r="F227" s="30" t="str">
        <f ca="1">IFERROR(__xludf.DUMMYFUNCTION("""COMPUTED_VALUE"""),"")</f>
        <v/>
      </c>
      <c r="G227" s="29" t="str">
        <f ca="1">IFERROR(__xludf.DUMMYFUNCTION("""COMPUTED_VALUE"""),"")</f>
        <v/>
      </c>
      <c r="H227" s="30" t="str">
        <f ca="1">IFERROR(__xludf.DUMMYFUNCTION("""COMPUTED_VALUE"""),"")</f>
        <v/>
      </c>
      <c r="I227" s="29" t="str">
        <f ca="1">IFERROR(__xludf.DUMMYFUNCTION("""COMPUTED_VALUE"""),"")</f>
        <v/>
      </c>
      <c r="J227" s="29" t="str">
        <f ca="1">IFERROR(__xludf.DUMMYFUNCTION("""COMPUTED_VALUE"""),"")</f>
        <v/>
      </c>
      <c r="K227" s="29" t="str">
        <f ca="1">IFERROR(__xludf.DUMMYFUNCTION("""COMPUTED_VALUE"""),"")</f>
        <v/>
      </c>
      <c r="L227" s="29" t="str">
        <f ca="1">IFERROR(__xludf.DUMMYFUNCTION("""COMPUTED_VALUE"""),"")</f>
        <v/>
      </c>
      <c r="M227" s="29" t="str">
        <f ca="1">IFERROR(__xludf.DUMMYFUNCTION("""COMPUTED_VALUE"""),"")</f>
        <v/>
      </c>
      <c r="N227" s="29" t="str">
        <f ca="1">IFERROR(__xludf.DUMMYFUNCTION("""COMPUTED_VALUE"""),"")</f>
        <v/>
      </c>
    </row>
    <row r="228" spans="2:14" ht="12.5">
      <c r="B228" s="2"/>
      <c r="C228" s="2" t="str">
        <f ca="1">IFERROR(__xludf.DUMMYFUNCTION("""COMPUTED_VALUE"""),"")</f>
        <v/>
      </c>
      <c r="D228" s="2" t="str">
        <f ca="1">IFERROR(__xludf.DUMMYFUNCTION("""COMPUTED_VALUE"""),"")</f>
        <v/>
      </c>
      <c r="E228" s="29" t="str">
        <f ca="1">IFERROR(__xludf.DUMMYFUNCTION("""COMPUTED_VALUE"""),"")</f>
        <v/>
      </c>
      <c r="F228" s="30" t="str">
        <f ca="1">IFERROR(__xludf.DUMMYFUNCTION("""COMPUTED_VALUE"""),"")</f>
        <v/>
      </c>
      <c r="G228" s="29" t="str">
        <f ca="1">IFERROR(__xludf.DUMMYFUNCTION("""COMPUTED_VALUE"""),"")</f>
        <v/>
      </c>
      <c r="H228" s="30" t="str">
        <f ca="1">IFERROR(__xludf.DUMMYFUNCTION("""COMPUTED_VALUE"""),"")</f>
        <v/>
      </c>
      <c r="I228" s="29" t="str">
        <f ca="1">IFERROR(__xludf.DUMMYFUNCTION("""COMPUTED_VALUE"""),"")</f>
        <v/>
      </c>
      <c r="J228" s="29" t="str">
        <f ca="1">IFERROR(__xludf.DUMMYFUNCTION("""COMPUTED_VALUE"""),"")</f>
        <v/>
      </c>
      <c r="K228" s="29" t="str">
        <f ca="1">IFERROR(__xludf.DUMMYFUNCTION("""COMPUTED_VALUE"""),"")</f>
        <v/>
      </c>
      <c r="L228" s="29" t="str">
        <f ca="1">IFERROR(__xludf.DUMMYFUNCTION("""COMPUTED_VALUE"""),"")</f>
        <v/>
      </c>
      <c r="M228" s="29" t="str">
        <f ca="1">IFERROR(__xludf.DUMMYFUNCTION("""COMPUTED_VALUE"""),"")</f>
        <v/>
      </c>
      <c r="N228" s="29" t="str">
        <f ca="1">IFERROR(__xludf.DUMMYFUNCTION("""COMPUTED_VALUE"""),"")</f>
        <v/>
      </c>
    </row>
    <row r="229" spans="2:14" ht="12.5">
      <c r="B229" s="2"/>
      <c r="C229" s="2" t="str">
        <f ca="1">IFERROR(__xludf.DUMMYFUNCTION("""COMPUTED_VALUE"""),"")</f>
        <v/>
      </c>
      <c r="D229" s="2" t="str">
        <f ca="1">IFERROR(__xludf.DUMMYFUNCTION("""COMPUTED_VALUE"""),"")</f>
        <v/>
      </c>
      <c r="E229" s="29" t="str">
        <f ca="1">IFERROR(__xludf.DUMMYFUNCTION("""COMPUTED_VALUE"""),"")</f>
        <v/>
      </c>
      <c r="F229" s="30" t="str">
        <f ca="1">IFERROR(__xludf.DUMMYFUNCTION("""COMPUTED_VALUE"""),"")</f>
        <v/>
      </c>
      <c r="G229" s="29" t="str">
        <f ca="1">IFERROR(__xludf.DUMMYFUNCTION("""COMPUTED_VALUE"""),"")</f>
        <v/>
      </c>
      <c r="H229" s="30" t="str">
        <f ca="1">IFERROR(__xludf.DUMMYFUNCTION("""COMPUTED_VALUE"""),"")</f>
        <v/>
      </c>
      <c r="I229" s="29" t="str">
        <f ca="1">IFERROR(__xludf.DUMMYFUNCTION("""COMPUTED_VALUE"""),"")</f>
        <v/>
      </c>
      <c r="J229" s="29" t="str">
        <f ca="1">IFERROR(__xludf.DUMMYFUNCTION("""COMPUTED_VALUE"""),"")</f>
        <v/>
      </c>
      <c r="K229" s="29" t="str">
        <f ca="1">IFERROR(__xludf.DUMMYFUNCTION("""COMPUTED_VALUE"""),"")</f>
        <v/>
      </c>
      <c r="L229" s="29" t="str">
        <f ca="1">IFERROR(__xludf.DUMMYFUNCTION("""COMPUTED_VALUE"""),"")</f>
        <v/>
      </c>
      <c r="M229" s="29" t="str">
        <f ca="1">IFERROR(__xludf.DUMMYFUNCTION("""COMPUTED_VALUE"""),"")</f>
        <v/>
      </c>
      <c r="N229" s="29" t="str">
        <f ca="1">IFERROR(__xludf.DUMMYFUNCTION("""COMPUTED_VALUE"""),"")</f>
        <v/>
      </c>
    </row>
    <row r="230" spans="2:14" ht="12.5">
      <c r="B230" s="2"/>
      <c r="C230" s="2" t="str">
        <f ca="1">IFERROR(__xludf.DUMMYFUNCTION("""COMPUTED_VALUE"""),"")</f>
        <v/>
      </c>
      <c r="D230" s="2" t="str">
        <f ca="1">IFERROR(__xludf.DUMMYFUNCTION("""COMPUTED_VALUE"""),"")</f>
        <v/>
      </c>
      <c r="E230" s="29" t="str">
        <f ca="1">IFERROR(__xludf.DUMMYFUNCTION("""COMPUTED_VALUE"""),"")</f>
        <v/>
      </c>
      <c r="F230" s="30" t="str">
        <f ca="1">IFERROR(__xludf.DUMMYFUNCTION("""COMPUTED_VALUE"""),"")</f>
        <v/>
      </c>
      <c r="G230" s="29" t="str">
        <f ca="1">IFERROR(__xludf.DUMMYFUNCTION("""COMPUTED_VALUE"""),"")</f>
        <v/>
      </c>
      <c r="H230" s="30" t="str">
        <f ca="1">IFERROR(__xludf.DUMMYFUNCTION("""COMPUTED_VALUE"""),"")</f>
        <v/>
      </c>
      <c r="I230" s="29" t="str">
        <f ca="1">IFERROR(__xludf.DUMMYFUNCTION("""COMPUTED_VALUE"""),"")</f>
        <v/>
      </c>
      <c r="J230" s="29" t="str">
        <f ca="1">IFERROR(__xludf.DUMMYFUNCTION("""COMPUTED_VALUE"""),"")</f>
        <v/>
      </c>
      <c r="K230" s="29" t="str">
        <f ca="1">IFERROR(__xludf.DUMMYFUNCTION("""COMPUTED_VALUE"""),"")</f>
        <v/>
      </c>
      <c r="L230" s="29" t="str">
        <f ca="1">IFERROR(__xludf.DUMMYFUNCTION("""COMPUTED_VALUE"""),"")</f>
        <v/>
      </c>
      <c r="M230" s="29" t="str">
        <f ca="1">IFERROR(__xludf.DUMMYFUNCTION("""COMPUTED_VALUE"""),"")</f>
        <v/>
      </c>
      <c r="N230" s="29" t="str">
        <f ca="1">IFERROR(__xludf.DUMMYFUNCTION("""COMPUTED_VALUE"""),"")</f>
        <v/>
      </c>
    </row>
    <row r="231" spans="2:14" ht="12.5">
      <c r="B231" s="2"/>
      <c r="C231" s="2" t="str">
        <f ca="1">IFERROR(__xludf.DUMMYFUNCTION("""COMPUTED_VALUE"""),"")</f>
        <v/>
      </c>
      <c r="D231" s="2" t="str">
        <f ca="1">IFERROR(__xludf.DUMMYFUNCTION("""COMPUTED_VALUE"""),"")</f>
        <v/>
      </c>
      <c r="E231" s="29" t="str">
        <f ca="1">IFERROR(__xludf.DUMMYFUNCTION("""COMPUTED_VALUE"""),"")</f>
        <v/>
      </c>
      <c r="F231" s="30" t="str">
        <f ca="1">IFERROR(__xludf.DUMMYFUNCTION("""COMPUTED_VALUE"""),"")</f>
        <v/>
      </c>
      <c r="G231" s="29" t="str">
        <f ca="1">IFERROR(__xludf.DUMMYFUNCTION("""COMPUTED_VALUE"""),"")</f>
        <v/>
      </c>
      <c r="H231" s="30" t="str">
        <f ca="1">IFERROR(__xludf.DUMMYFUNCTION("""COMPUTED_VALUE"""),"")</f>
        <v/>
      </c>
      <c r="I231" s="29" t="str">
        <f ca="1">IFERROR(__xludf.DUMMYFUNCTION("""COMPUTED_VALUE"""),"")</f>
        <v/>
      </c>
      <c r="J231" s="29" t="str">
        <f ca="1">IFERROR(__xludf.DUMMYFUNCTION("""COMPUTED_VALUE"""),"")</f>
        <v/>
      </c>
      <c r="K231" s="29" t="str">
        <f ca="1">IFERROR(__xludf.DUMMYFUNCTION("""COMPUTED_VALUE"""),"")</f>
        <v/>
      </c>
      <c r="L231" s="29" t="str">
        <f ca="1">IFERROR(__xludf.DUMMYFUNCTION("""COMPUTED_VALUE"""),"")</f>
        <v/>
      </c>
      <c r="M231" s="29" t="str">
        <f ca="1">IFERROR(__xludf.DUMMYFUNCTION("""COMPUTED_VALUE"""),"")</f>
        <v/>
      </c>
      <c r="N231" s="29" t="str">
        <f ca="1">IFERROR(__xludf.DUMMYFUNCTION("""COMPUTED_VALUE"""),"")</f>
        <v/>
      </c>
    </row>
    <row r="232" spans="2:14" ht="12.5">
      <c r="B232" s="2"/>
      <c r="C232" s="2" t="str">
        <f ca="1">IFERROR(__xludf.DUMMYFUNCTION("""COMPUTED_VALUE"""),"")</f>
        <v/>
      </c>
      <c r="D232" s="2" t="str">
        <f ca="1">IFERROR(__xludf.DUMMYFUNCTION("""COMPUTED_VALUE"""),"")</f>
        <v/>
      </c>
      <c r="E232" s="29" t="str">
        <f ca="1">IFERROR(__xludf.DUMMYFUNCTION("""COMPUTED_VALUE"""),"")</f>
        <v/>
      </c>
      <c r="F232" s="30" t="str">
        <f ca="1">IFERROR(__xludf.DUMMYFUNCTION("""COMPUTED_VALUE"""),"")</f>
        <v/>
      </c>
      <c r="G232" s="29" t="str">
        <f ca="1">IFERROR(__xludf.DUMMYFUNCTION("""COMPUTED_VALUE"""),"")</f>
        <v/>
      </c>
      <c r="H232" s="30" t="str">
        <f ca="1">IFERROR(__xludf.DUMMYFUNCTION("""COMPUTED_VALUE"""),"")</f>
        <v/>
      </c>
      <c r="I232" s="29" t="str">
        <f ca="1">IFERROR(__xludf.DUMMYFUNCTION("""COMPUTED_VALUE"""),"")</f>
        <v/>
      </c>
      <c r="J232" s="29" t="str">
        <f ca="1">IFERROR(__xludf.DUMMYFUNCTION("""COMPUTED_VALUE"""),"")</f>
        <v/>
      </c>
      <c r="K232" s="29" t="str">
        <f ca="1">IFERROR(__xludf.DUMMYFUNCTION("""COMPUTED_VALUE"""),"")</f>
        <v/>
      </c>
      <c r="L232" s="29" t="str">
        <f ca="1">IFERROR(__xludf.DUMMYFUNCTION("""COMPUTED_VALUE"""),"")</f>
        <v/>
      </c>
      <c r="M232" s="29" t="str">
        <f ca="1">IFERROR(__xludf.DUMMYFUNCTION("""COMPUTED_VALUE"""),"")</f>
        <v/>
      </c>
      <c r="N232" s="29" t="str">
        <f ca="1">IFERROR(__xludf.DUMMYFUNCTION("""COMPUTED_VALUE"""),"")</f>
        <v/>
      </c>
    </row>
    <row r="233" spans="2:14" ht="12.5">
      <c r="B233" s="2"/>
      <c r="C233" s="2" t="str">
        <f ca="1">IFERROR(__xludf.DUMMYFUNCTION("""COMPUTED_VALUE"""),"")</f>
        <v/>
      </c>
      <c r="D233" s="2" t="str">
        <f ca="1">IFERROR(__xludf.DUMMYFUNCTION("""COMPUTED_VALUE"""),"")</f>
        <v/>
      </c>
      <c r="E233" s="29" t="str">
        <f ca="1">IFERROR(__xludf.DUMMYFUNCTION("""COMPUTED_VALUE"""),"")</f>
        <v/>
      </c>
      <c r="F233" s="30" t="str">
        <f ca="1">IFERROR(__xludf.DUMMYFUNCTION("""COMPUTED_VALUE"""),"")</f>
        <v/>
      </c>
      <c r="G233" s="29" t="str">
        <f ca="1">IFERROR(__xludf.DUMMYFUNCTION("""COMPUTED_VALUE"""),"")</f>
        <v/>
      </c>
      <c r="H233" s="30" t="str">
        <f ca="1">IFERROR(__xludf.DUMMYFUNCTION("""COMPUTED_VALUE"""),"")</f>
        <v/>
      </c>
      <c r="I233" s="29" t="str">
        <f ca="1">IFERROR(__xludf.DUMMYFUNCTION("""COMPUTED_VALUE"""),"")</f>
        <v/>
      </c>
      <c r="J233" s="29" t="str">
        <f ca="1">IFERROR(__xludf.DUMMYFUNCTION("""COMPUTED_VALUE"""),"")</f>
        <v/>
      </c>
      <c r="K233" s="29" t="str">
        <f ca="1">IFERROR(__xludf.DUMMYFUNCTION("""COMPUTED_VALUE"""),"")</f>
        <v/>
      </c>
      <c r="L233" s="29" t="str">
        <f ca="1">IFERROR(__xludf.DUMMYFUNCTION("""COMPUTED_VALUE"""),"")</f>
        <v/>
      </c>
      <c r="M233" s="29" t="str">
        <f ca="1">IFERROR(__xludf.DUMMYFUNCTION("""COMPUTED_VALUE"""),"")</f>
        <v/>
      </c>
      <c r="N233" s="29" t="str">
        <f ca="1">IFERROR(__xludf.DUMMYFUNCTION("""COMPUTED_VALUE"""),"")</f>
        <v/>
      </c>
    </row>
    <row r="234" spans="2:14" ht="12.5">
      <c r="B234" s="2"/>
      <c r="C234" s="2" t="str">
        <f ca="1">IFERROR(__xludf.DUMMYFUNCTION("""COMPUTED_VALUE"""),"")</f>
        <v/>
      </c>
      <c r="D234" s="2" t="str">
        <f ca="1">IFERROR(__xludf.DUMMYFUNCTION("""COMPUTED_VALUE"""),"")</f>
        <v/>
      </c>
      <c r="E234" s="29" t="str">
        <f ca="1">IFERROR(__xludf.DUMMYFUNCTION("""COMPUTED_VALUE"""),"")</f>
        <v/>
      </c>
      <c r="F234" s="30" t="str">
        <f ca="1">IFERROR(__xludf.DUMMYFUNCTION("""COMPUTED_VALUE"""),"")</f>
        <v/>
      </c>
      <c r="G234" s="29" t="str">
        <f ca="1">IFERROR(__xludf.DUMMYFUNCTION("""COMPUTED_VALUE"""),"")</f>
        <v/>
      </c>
      <c r="H234" s="30" t="str">
        <f ca="1">IFERROR(__xludf.DUMMYFUNCTION("""COMPUTED_VALUE"""),"")</f>
        <v/>
      </c>
      <c r="I234" s="29" t="str">
        <f ca="1">IFERROR(__xludf.DUMMYFUNCTION("""COMPUTED_VALUE"""),"")</f>
        <v/>
      </c>
      <c r="J234" s="29" t="str">
        <f ca="1">IFERROR(__xludf.DUMMYFUNCTION("""COMPUTED_VALUE"""),"")</f>
        <v/>
      </c>
      <c r="K234" s="29" t="str">
        <f ca="1">IFERROR(__xludf.DUMMYFUNCTION("""COMPUTED_VALUE"""),"")</f>
        <v/>
      </c>
      <c r="L234" s="29" t="str">
        <f ca="1">IFERROR(__xludf.DUMMYFUNCTION("""COMPUTED_VALUE"""),"")</f>
        <v/>
      </c>
      <c r="M234" s="29" t="str">
        <f ca="1">IFERROR(__xludf.DUMMYFUNCTION("""COMPUTED_VALUE"""),"")</f>
        <v/>
      </c>
      <c r="N234" s="29" t="str">
        <f ca="1">IFERROR(__xludf.DUMMYFUNCTION("""COMPUTED_VALUE"""),"")</f>
        <v/>
      </c>
    </row>
    <row r="235" spans="2:14" ht="12.5">
      <c r="B235" s="2"/>
      <c r="C235" s="2" t="str">
        <f ca="1">IFERROR(__xludf.DUMMYFUNCTION("""COMPUTED_VALUE"""),"")</f>
        <v/>
      </c>
      <c r="D235" s="2" t="str">
        <f ca="1">IFERROR(__xludf.DUMMYFUNCTION("""COMPUTED_VALUE"""),"")</f>
        <v/>
      </c>
      <c r="E235" s="29" t="str">
        <f ca="1">IFERROR(__xludf.DUMMYFUNCTION("""COMPUTED_VALUE"""),"")</f>
        <v/>
      </c>
      <c r="F235" s="30" t="str">
        <f ca="1">IFERROR(__xludf.DUMMYFUNCTION("""COMPUTED_VALUE"""),"")</f>
        <v/>
      </c>
      <c r="G235" s="29" t="str">
        <f ca="1">IFERROR(__xludf.DUMMYFUNCTION("""COMPUTED_VALUE"""),"")</f>
        <v/>
      </c>
      <c r="H235" s="30" t="str">
        <f ca="1">IFERROR(__xludf.DUMMYFUNCTION("""COMPUTED_VALUE"""),"")</f>
        <v/>
      </c>
      <c r="I235" s="29" t="str">
        <f ca="1">IFERROR(__xludf.DUMMYFUNCTION("""COMPUTED_VALUE"""),"")</f>
        <v/>
      </c>
      <c r="J235" s="29" t="str">
        <f ca="1">IFERROR(__xludf.DUMMYFUNCTION("""COMPUTED_VALUE"""),"")</f>
        <v/>
      </c>
      <c r="K235" s="29" t="str">
        <f ca="1">IFERROR(__xludf.DUMMYFUNCTION("""COMPUTED_VALUE"""),"")</f>
        <v/>
      </c>
      <c r="L235" s="29" t="str">
        <f ca="1">IFERROR(__xludf.DUMMYFUNCTION("""COMPUTED_VALUE"""),"")</f>
        <v/>
      </c>
      <c r="M235" s="29" t="str">
        <f ca="1">IFERROR(__xludf.DUMMYFUNCTION("""COMPUTED_VALUE"""),"")</f>
        <v/>
      </c>
      <c r="N235" s="29" t="str">
        <f ca="1">IFERROR(__xludf.DUMMYFUNCTION("""COMPUTED_VALUE"""),"")</f>
        <v/>
      </c>
    </row>
    <row r="236" spans="2:14" ht="12.5">
      <c r="B236" s="2"/>
      <c r="C236" s="2" t="str">
        <f ca="1">IFERROR(__xludf.DUMMYFUNCTION("""COMPUTED_VALUE"""),"")</f>
        <v/>
      </c>
      <c r="D236" s="2" t="str">
        <f ca="1">IFERROR(__xludf.DUMMYFUNCTION("""COMPUTED_VALUE"""),"")</f>
        <v/>
      </c>
      <c r="E236" s="29" t="str">
        <f ca="1">IFERROR(__xludf.DUMMYFUNCTION("""COMPUTED_VALUE"""),"")</f>
        <v/>
      </c>
      <c r="F236" s="30" t="str">
        <f ca="1">IFERROR(__xludf.DUMMYFUNCTION("""COMPUTED_VALUE"""),"")</f>
        <v/>
      </c>
      <c r="G236" s="29" t="str">
        <f ca="1">IFERROR(__xludf.DUMMYFUNCTION("""COMPUTED_VALUE"""),"")</f>
        <v/>
      </c>
      <c r="H236" s="30" t="str">
        <f ca="1">IFERROR(__xludf.DUMMYFUNCTION("""COMPUTED_VALUE"""),"")</f>
        <v/>
      </c>
      <c r="I236" s="29" t="str">
        <f ca="1">IFERROR(__xludf.DUMMYFUNCTION("""COMPUTED_VALUE"""),"")</f>
        <v/>
      </c>
      <c r="J236" s="29" t="str">
        <f ca="1">IFERROR(__xludf.DUMMYFUNCTION("""COMPUTED_VALUE"""),"")</f>
        <v/>
      </c>
      <c r="K236" s="29" t="str">
        <f ca="1">IFERROR(__xludf.DUMMYFUNCTION("""COMPUTED_VALUE"""),"")</f>
        <v/>
      </c>
      <c r="L236" s="29" t="str">
        <f ca="1">IFERROR(__xludf.DUMMYFUNCTION("""COMPUTED_VALUE"""),"")</f>
        <v/>
      </c>
      <c r="M236" s="29" t="str">
        <f ca="1">IFERROR(__xludf.DUMMYFUNCTION("""COMPUTED_VALUE"""),"")</f>
        <v/>
      </c>
      <c r="N236" s="29" t="str">
        <f ca="1">IFERROR(__xludf.DUMMYFUNCTION("""COMPUTED_VALUE"""),"")</f>
        <v/>
      </c>
    </row>
    <row r="237" spans="2:14" ht="12.5">
      <c r="B237" s="2"/>
      <c r="C237" s="2" t="str">
        <f ca="1">IFERROR(__xludf.DUMMYFUNCTION("""COMPUTED_VALUE"""),"")</f>
        <v/>
      </c>
      <c r="D237" s="2" t="str">
        <f ca="1">IFERROR(__xludf.DUMMYFUNCTION("""COMPUTED_VALUE"""),"")</f>
        <v/>
      </c>
      <c r="E237" s="29" t="str">
        <f ca="1">IFERROR(__xludf.DUMMYFUNCTION("""COMPUTED_VALUE"""),"")</f>
        <v/>
      </c>
      <c r="F237" s="30" t="str">
        <f ca="1">IFERROR(__xludf.DUMMYFUNCTION("""COMPUTED_VALUE"""),"")</f>
        <v/>
      </c>
      <c r="G237" s="29" t="str">
        <f ca="1">IFERROR(__xludf.DUMMYFUNCTION("""COMPUTED_VALUE"""),"")</f>
        <v/>
      </c>
      <c r="H237" s="30" t="str">
        <f ca="1">IFERROR(__xludf.DUMMYFUNCTION("""COMPUTED_VALUE"""),"")</f>
        <v/>
      </c>
      <c r="I237" s="29" t="str">
        <f ca="1">IFERROR(__xludf.DUMMYFUNCTION("""COMPUTED_VALUE"""),"")</f>
        <v/>
      </c>
      <c r="J237" s="29" t="str">
        <f ca="1">IFERROR(__xludf.DUMMYFUNCTION("""COMPUTED_VALUE"""),"")</f>
        <v/>
      </c>
      <c r="K237" s="29" t="str">
        <f ca="1">IFERROR(__xludf.DUMMYFUNCTION("""COMPUTED_VALUE"""),"")</f>
        <v/>
      </c>
      <c r="L237" s="29" t="str">
        <f ca="1">IFERROR(__xludf.DUMMYFUNCTION("""COMPUTED_VALUE"""),"")</f>
        <v/>
      </c>
      <c r="M237" s="29" t="str">
        <f ca="1">IFERROR(__xludf.DUMMYFUNCTION("""COMPUTED_VALUE"""),"")</f>
        <v/>
      </c>
      <c r="N237" s="29" t="str">
        <f ca="1">IFERROR(__xludf.DUMMYFUNCTION("""COMPUTED_VALUE"""),"")</f>
        <v/>
      </c>
    </row>
    <row r="238" spans="2:14" ht="12.5">
      <c r="B238" s="2"/>
      <c r="C238" s="2" t="str">
        <f ca="1">IFERROR(__xludf.DUMMYFUNCTION("""COMPUTED_VALUE"""),"")</f>
        <v/>
      </c>
      <c r="D238" s="2" t="str">
        <f ca="1">IFERROR(__xludf.DUMMYFUNCTION("""COMPUTED_VALUE"""),"")</f>
        <v/>
      </c>
      <c r="E238" s="29" t="str">
        <f ca="1">IFERROR(__xludf.DUMMYFUNCTION("""COMPUTED_VALUE"""),"")</f>
        <v/>
      </c>
      <c r="F238" s="30" t="str">
        <f ca="1">IFERROR(__xludf.DUMMYFUNCTION("""COMPUTED_VALUE"""),"")</f>
        <v/>
      </c>
      <c r="G238" s="29" t="str">
        <f ca="1">IFERROR(__xludf.DUMMYFUNCTION("""COMPUTED_VALUE"""),"")</f>
        <v/>
      </c>
      <c r="H238" s="30" t="str">
        <f ca="1">IFERROR(__xludf.DUMMYFUNCTION("""COMPUTED_VALUE"""),"")</f>
        <v/>
      </c>
      <c r="I238" s="29" t="str">
        <f ca="1">IFERROR(__xludf.DUMMYFUNCTION("""COMPUTED_VALUE"""),"")</f>
        <v/>
      </c>
      <c r="J238" s="29" t="str">
        <f ca="1">IFERROR(__xludf.DUMMYFUNCTION("""COMPUTED_VALUE"""),"")</f>
        <v/>
      </c>
      <c r="K238" s="29" t="str">
        <f ca="1">IFERROR(__xludf.DUMMYFUNCTION("""COMPUTED_VALUE"""),"")</f>
        <v/>
      </c>
      <c r="L238" s="29" t="str">
        <f ca="1">IFERROR(__xludf.DUMMYFUNCTION("""COMPUTED_VALUE"""),"")</f>
        <v/>
      </c>
      <c r="M238" s="29" t="str">
        <f ca="1">IFERROR(__xludf.DUMMYFUNCTION("""COMPUTED_VALUE"""),"")</f>
        <v/>
      </c>
      <c r="N238" s="29" t="str">
        <f ca="1">IFERROR(__xludf.DUMMYFUNCTION("""COMPUTED_VALUE"""),"")</f>
        <v/>
      </c>
    </row>
    <row r="239" spans="2:14" ht="12.5">
      <c r="B239" s="2"/>
      <c r="C239" s="2" t="str">
        <f ca="1">IFERROR(__xludf.DUMMYFUNCTION("""COMPUTED_VALUE"""),"")</f>
        <v/>
      </c>
      <c r="D239" s="2" t="str">
        <f ca="1">IFERROR(__xludf.DUMMYFUNCTION("""COMPUTED_VALUE"""),"")</f>
        <v/>
      </c>
      <c r="E239" s="29" t="str">
        <f ca="1">IFERROR(__xludf.DUMMYFUNCTION("""COMPUTED_VALUE"""),"")</f>
        <v/>
      </c>
      <c r="F239" s="30" t="str">
        <f ca="1">IFERROR(__xludf.DUMMYFUNCTION("""COMPUTED_VALUE"""),"")</f>
        <v/>
      </c>
      <c r="G239" s="29" t="str">
        <f ca="1">IFERROR(__xludf.DUMMYFUNCTION("""COMPUTED_VALUE"""),"")</f>
        <v/>
      </c>
      <c r="H239" s="30" t="str">
        <f ca="1">IFERROR(__xludf.DUMMYFUNCTION("""COMPUTED_VALUE"""),"")</f>
        <v/>
      </c>
      <c r="I239" s="29" t="str">
        <f ca="1">IFERROR(__xludf.DUMMYFUNCTION("""COMPUTED_VALUE"""),"")</f>
        <v/>
      </c>
      <c r="J239" s="29" t="str">
        <f ca="1">IFERROR(__xludf.DUMMYFUNCTION("""COMPUTED_VALUE"""),"")</f>
        <v/>
      </c>
      <c r="K239" s="29" t="str">
        <f ca="1">IFERROR(__xludf.DUMMYFUNCTION("""COMPUTED_VALUE"""),"")</f>
        <v/>
      </c>
      <c r="L239" s="29" t="str">
        <f ca="1">IFERROR(__xludf.DUMMYFUNCTION("""COMPUTED_VALUE"""),"")</f>
        <v/>
      </c>
      <c r="M239" s="29" t="str">
        <f ca="1">IFERROR(__xludf.DUMMYFUNCTION("""COMPUTED_VALUE"""),"")</f>
        <v/>
      </c>
      <c r="N239" s="29" t="str">
        <f ca="1">IFERROR(__xludf.DUMMYFUNCTION("""COMPUTED_VALUE"""),"")</f>
        <v/>
      </c>
    </row>
    <row r="240" spans="2:14" ht="12.5">
      <c r="B240" s="2"/>
      <c r="C240" s="2" t="str">
        <f ca="1">IFERROR(__xludf.DUMMYFUNCTION("""COMPUTED_VALUE"""),"")</f>
        <v/>
      </c>
      <c r="D240" s="2" t="str">
        <f ca="1">IFERROR(__xludf.DUMMYFUNCTION("""COMPUTED_VALUE"""),"")</f>
        <v/>
      </c>
      <c r="E240" s="29" t="str">
        <f ca="1">IFERROR(__xludf.DUMMYFUNCTION("""COMPUTED_VALUE"""),"")</f>
        <v/>
      </c>
      <c r="F240" s="30" t="str">
        <f ca="1">IFERROR(__xludf.DUMMYFUNCTION("""COMPUTED_VALUE"""),"")</f>
        <v/>
      </c>
      <c r="G240" s="29" t="str">
        <f ca="1">IFERROR(__xludf.DUMMYFUNCTION("""COMPUTED_VALUE"""),"")</f>
        <v/>
      </c>
      <c r="H240" s="30" t="str">
        <f ca="1">IFERROR(__xludf.DUMMYFUNCTION("""COMPUTED_VALUE"""),"")</f>
        <v/>
      </c>
      <c r="I240" s="29" t="str">
        <f ca="1">IFERROR(__xludf.DUMMYFUNCTION("""COMPUTED_VALUE"""),"")</f>
        <v/>
      </c>
      <c r="J240" s="29" t="str">
        <f ca="1">IFERROR(__xludf.DUMMYFUNCTION("""COMPUTED_VALUE"""),"")</f>
        <v/>
      </c>
      <c r="K240" s="29" t="str">
        <f ca="1">IFERROR(__xludf.DUMMYFUNCTION("""COMPUTED_VALUE"""),"")</f>
        <v/>
      </c>
      <c r="L240" s="29" t="str">
        <f ca="1">IFERROR(__xludf.DUMMYFUNCTION("""COMPUTED_VALUE"""),"")</f>
        <v/>
      </c>
      <c r="M240" s="29" t="str">
        <f ca="1">IFERROR(__xludf.DUMMYFUNCTION("""COMPUTED_VALUE"""),"")</f>
        <v/>
      </c>
      <c r="N240" s="29" t="str">
        <f ca="1">IFERROR(__xludf.DUMMYFUNCTION("""COMPUTED_VALUE"""),"")</f>
        <v/>
      </c>
    </row>
    <row r="241" spans="2:14" ht="12.5">
      <c r="B241" s="2"/>
      <c r="C241" s="2" t="str">
        <f ca="1">IFERROR(__xludf.DUMMYFUNCTION("""COMPUTED_VALUE"""),"")</f>
        <v/>
      </c>
      <c r="D241" s="2" t="str">
        <f ca="1">IFERROR(__xludf.DUMMYFUNCTION("""COMPUTED_VALUE"""),"")</f>
        <v/>
      </c>
      <c r="E241" s="29" t="str">
        <f ca="1">IFERROR(__xludf.DUMMYFUNCTION("""COMPUTED_VALUE"""),"")</f>
        <v/>
      </c>
      <c r="F241" s="30" t="str">
        <f ca="1">IFERROR(__xludf.DUMMYFUNCTION("""COMPUTED_VALUE"""),"")</f>
        <v/>
      </c>
      <c r="G241" s="29" t="str">
        <f ca="1">IFERROR(__xludf.DUMMYFUNCTION("""COMPUTED_VALUE"""),"")</f>
        <v/>
      </c>
      <c r="H241" s="30" t="str">
        <f ca="1">IFERROR(__xludf.DUMMYFUNCTION("""COMPUTED_VALUE"""),"")</f>
        <v/>
      </c>
      <c r="I241" s="29" t="str">
        <f ca="1">IFERROR(__xludf.DUMMYFUNCTION("""COMPUTED_VALUE"""),"")</f>
        <v/>
      </c>
      <c r="J241" s="29" t="str">
        <f ca="1">IFERROR(__xludf.DUMMYFUNCTION("""COMPUTED_VALUE"""),"")</f>
        <v/>
      </c>
      <c r="K241" s="29" t="str">
        <f ca="1">IFERROR(__xludf.DUMMYFUNCTION("""COMPUTED_VALUE"""),"")</f>
        <v/>
      </c>
      <c r="L241" s="29" t="str">
        <f ca="1">IFERROR(__xludf.DUMMYFUNCTION("""COMPUTED_VALUE"""),"")</f>
        <v/>
      </c>
      <c r="M241" s="29" t="str">
        <f ca="1">IFERROR(__xludf.DUMMYFUNCTION("""COMPUTED_VALUE"""),"")</f>
        <v/>
      </c>
      <c r="N241" s="29" t="str">
        <f ca="1">IFERROR(__xludf.DUMMYFUNCTION("""COMPUTED_VALUE"""),"")</f>
        <v/>
      </c>
    </row>
    <row r="242" spans="2:14" ht="12.5">
      <c r="B242" s="2"/>
      <c r="C242" s="2" t="str">
        <f ca="1">IFERROR(__xludf.DUMMYFUNCTION("""COMPUTED_VALUE"""),"")</f>
        <v/>
      </c>
      <c r="D242" s="2" t="str">
        <f ca="1">IFERROR(__xludf.DUMMYFUNCTION("""COMPUTED_VALUE"""),"")</f>
        <v/>
      </c>
      <c r="E242" s="29" t="str">
        <f ca="1">IFERROR(__xludf.DUMMYFUNCTION("""COMPUTED_VALUE"""),"")</f>
        <v/>
      </c>
      <c r="F242" s="30" t="str">
        <f ca="1">IFERROR(__xludf.DUMMYFUNCTION("""COMPUTED_VALUE"""),"")</f>
        <v/>
      </c>
      <c r="G242" s="29" t="str">
        <f ca="1">IFERROR(__xludf.DUMMYFUNCTION("""COMPUTED_VALUE"""),"")</f>
        <v/>
      </c>
      <c r="H242" s="30" t="str">
        <f ca="1">IFERROR(__xludf.DUMMYFUNCTION("""COMPUTED_VALUE"""),"")</f>
        <v/>
      </c>
      <c r="I242" s="29" t="str">
        <f ca="1">IFERROR(__xludf.DUMMYFUNCTION("""COMPUTED_VALUE"""),"")</f>
        <v/>
      </c>
      <c r="J242" s="29" t="str">
        <f ca="1">IFERROR(__xludf.DUMMYFUNCTION("""COMPUTED_VALUE"""),"")</f>
        <v/>
      </c>
      <c r="K242" s="29" t="str">
        <f ca="1">IFERROR(__xludf.DUMMYFUNCTION("""COMPUTED_VALUE"""),"")</f>
        <v/>
      </c>
      <c r="L242" s="29" t="str">
        <f ca="1">IFERROR(__xludf.DUMMYFUNCTION("""COMPUTED_VALUE"""),"")</f>
        <v/>
      </c>
      <c r="M242" s="29" t="str">
        <f ca="1">IFERROR(__xludf.DUMMYFUNCTION("""COMPUTED_VALUE"""),"")</f>
        <v/>
      </c>
      <c r="N242" s="29" t="str">
        <f ca="1">IFERROR(__xludf.DUMMYFUNCTION("""COMPUTED_VALUE"""),"")</f>
        <v/>
      </c>
    </row>
    <row r="243" spans="2:14" ht="12.5">
      <c r="B243" s="2"/>
      <c r="C243" s="2" t="str">
        <f ca="1">IFERROR(__xludf.DUMMYFUNCTION("""COMPUTED_VALUE"""),"")</f>
        <v/>
      </c>
      <c r="D243" s="2" t="str">
        <f ca="1">IFERROR(__xludf.DUMMYFUNCTION("""COMPUTED_VALUE"""),"")</f>
        <v/>
      </c>
      <c r="E243" s="29" t="str">
        <f ca="1">IFERROR(__xludf.DUMMYFUNCTION("""COMPUTED_VALUE"""),"")</f>
        <v/>
      </c>
      <c r="F243" s="30" t="str">
        <f ca="1">IFERROR(__xludf.DUMMYFUNCTION("""COMPUTED_VALUE"""),"")</f>
        <v/>
      </c>
      <c r="G243" s="29" t="str">
        <f ca="1">IFERROR(__xludf.DUMMYFUNCTION("""COMPUTED_VALUE"""),"")</f>
        <v/>
      </c>
      <c r="H243" s="30" t="str">
        <f ca="1">IFERROR(__xludf.DUMMYFUNCTION("""COMPUTED_VALUE"""),"")</f>
        <v/>
      </c>
      <c r="I243" s="29" t="str">
        <f ca="1">IFERROR(__xludf.DUMMYFUNCTION("""COMPUTED_VALUE"""),"")</f>
        <v/>
      </c>
      <c r="J243" s="29" t="str">
        <f ca="1">IFERROR(__xludf.DUMMYFUNCTION("""COMPUTED_VALUE"""),"")</f>
        <v/>
      </c>
      <c r="K243" s="29" t="str">
        <f ca="1">IFERROR(__xludf.DUMMYFUNCTION("""COMPUTED_VALUE"""),"")</f>
        <v/>
      </c>
      <c r="L243" s="29" t="str">
        <f ca="1">IFERROR(__xludf.DUMMYFUNCTION("""COMPUTED_VALUE"""),"")</f>
        <v/>
      </c>
      <c r="M243" s="29" t="str">
        <f ca="1">IFERROR(__xludf.DUMMYFUNCTION("""COMPUTED_VALUE"""),"")</f>
        <v/>
      </c>
      <c r="N243" s="29" t="str">
        <f ca="1">IFERROR(__xludf.DUMMYFUNCTION("""COMPUTED_VALUE"""),"")</f>
        <v/>
      </c>
    </row>
    <row r="244" spans="2:14" ht="12.5">
      <c r="B244" s="2"/>
      <c r="C244" s="2" t="str">
        <f ca="1">IFERROR(__xludf.DUMMYFUNCTION("""COMPUTED_VALUE"""),"")</f>
        <v/>
      </c>
      <c r="D244" s="2" t="str">
        <f ca="1">IFERROR(__xludf.DUMMYFUNCTION("""COMPUTED_VALUE"""),"")</f>
        <v/>
      </c>
      <c r="E244" s="29" t="str">
        <f ca="1">IFERROR(__xludf.DUMMYFUNCTION("""COMPUTED_VALUE"""),"")</f>
        <v/>
      </c>
      <c r="F244" s="30" t="str">
        <f ca="1">IFERROR(__xludf.DUMMYFUNCTION("""COMPUTED_VALUE"""),"")</f>
        <v/>
      </c>
      <c r="G244" s="29" t="str">
        <f ca="1">IFERROR(__xludf.DUMMYFUNCTION("""COMPUTED_VALUE"""),"")</f>
        <v/>
      </c>
      <c r="H244" s="30" t="str">
        <f ca="1">IFERROR(__xludf.DUMMYFUNCTION("""COMPUTED_VALUE"""),"")</f>
        <v/>
      </c>
      <c r="I244" s="29" t="str">
        <f ca="1">IFERROR(__xludf.DUMMYFUNCTION("""COMPUTED_VALUE"""),"")</f>
        <v/>
      </c>
      <c r="J244" s="29" t="str">
        <f ca="1">IFERROR(__xludf.DUMMYFUNCTION("""COMPUTED_VALUE"""),"")</f>
        <v/>
      </c>
      <c r="K244" s="29" t="str">
        <f ca="1">IFERROR(__xludf.DUMMYFUNCTION("""COMPUTED_VALUE"""),"")</f>
        <v/>
      </c>
      <c r="L244" s="29" t="str">
        <f ca="1">IFERROR(__xludf.DUMMYFUNCTION("""COMPUTED_VALUE"""),"")</f>
        <v/>
      </c>
      <c r="M244" s="29" t="str">
        <f ca="1">IFERROR(__xludf.DUMMYFUNCTION("""COMPUTED_VALUE"""),"")</f>
        <v/>
      </c>
      <c r="N244" s="29" t="str">
        <f ca="1">IFERROR(__xludf.DUMMYFUNCTION("""COMPUTED_VALUE"""),"")</f>
        <v/>
      </c>
    </row>
    <row r="245" spans="2:14" ht="12.5">
      <c r="B245" s="2"/>
      <c r="C245" s="2" t="str">
        <f ca="1">IFERROR(__xludf.DUMMYFUNCTION("""COMPUTED_VALUE"""),"")</f>
        <v/>
      </c>
      <c r="D245" s="2" t="str">
        <f ca="1">IFERROR(__xludf.DUMMYFUNCTION("""COMPUTED_VALUE"""),"")</f>
        <v/>
      </c>
      <c r="E245" s="29" t="str">
        <f ca="1">IFERROR(__xludf.DUMMYFUNCTION("""COMPUTED_VALUE"""),"")</f>
        <v/>
      </c>
      <c r="F245" s="30" t="str">
        <f ca="1">IFERROR(__xludf.DUMMYFUNCTION("""COMPUTED_VALUE"""),"")</f>
        <v/>
      </c>
      <c r="G245" s="29" t="str">
        <f ca="1">IFERROR(__xludf.DUMMYFUNCTION("""COMPUTED_VALUE"""),"")</f>
        <v/>
      </c>
      <c r="H245" s="30" t="str">
        <f ca="1">IFERROR(__xludf.DUMMYFUNCTION("""COMPUTED_VALUE"""),"")</f>
        <v/>
      </c>
      <c r="I245" s="29" t="str">
        <f ca="1">IFERROR(__xludf.DUMMYFUNCTION("""COMPUTED_VALUE"""),"")</f>
        <v/>
      </c>
      <c r="J245" s="29" t="str">
        <f ca="1">IFERROR(__xludf.DUMMYFUNCTION("""COMPUTED_VALUE"""),"")</f>
        <v/>
      </c>
      <c r="K245" s="29" t="str">
        <f ca="1">IFERROR(__xludf.DUMMYFUNCTION("""COMPUTED_VALUE"""),"")</f>
        <v/>
      </c>
      <c r="L245" s="29" t="str">
        <f ca="1">IFERROR(__xludf.DUMMYFUNCTION("""COMPUTED_VALUE"""),"")</f>
        <v/>
      </c>
      <c r="M245" s="29" t="str">
        <f ca="1">IFERROR(__xludf.DUMMYFUNCTION("""COMPUTED_VALUE"""),"")</f>
        <v/>
      </c>
      <c r="N245" s="29" t="str">
        <f ca="1">IFERROR(__xludf.DUMMYFUNCTION("""COMPUTED_VALUE"""),"")</f>
        <v/>
      </c>
    </row>
    <row r="246" spans="2:14" ht="12.5">
      <c r="B246" s="2"/>
      <c r="C246" s="2" t="str">
        <f ca="1">IFERROR(__xludf.DUMMYFUNCTION("""COMPUTED_VALUE"""),"")</f>
        <v/>
      </c>
      <c r="D246" s="2" t="str">
        <f ca="1">IFERROR(__xludf.DUMMYFUNCTION("""COMPUTED_VALUE"""),"")</f>
        <v/>
      </c>
      <c r="E246" s="29" t="str">
        <f ca="1">IFERROR(__xludf.DUMMYFUNCTION("""COMPUTED_VALUE"""),"")</f>
        <v/>
      </c>
      <c r="F246" s="30" t="str">
        <f ca="1">IFERROR(__xludf.DUMMYFUNCTION("""COMPUTED_VALUE"""),"")</f>
        <v/>
      </c>
      <c r="G246" s="29" t="str">
        <f ca="1">IFERROR(__xludf.DUMMYFUNCTION("""COMPUTED_VALUE"""),"")</f>
        <v/>
      </c>
      <c r="H246" s="30" t="str">
        <f ca="1">IFERROR(__xludf.DUMMYFUNCTION("""COMPUTED_VALUE"""),"")</f>
        <v/>
      </c>
      <c r="I246" s="29" t="str">
        <f ca="1">IFERROR(__xludf.DUMMYFUNCTION("""COMPUTED_VALUE"""),"")</f>
        <v/>
      </c>
      <c r="J246" s="29" t="str">
        <f ca="1">IFERROR(__xludf.DUMMYFUNCTION("""COMPUTED_VALUE"""),"")</f>
        <v/>
      </c>
      <c r="K246" s="29" t="str">
        <f ca="1">IFERROR(__xludf.DUMMYFUNCTION("""COMPUTED_VALUE"""),"")</f>
        <v/>
      </c>
      <c r="L246" s="29" t="str">
        <f ca="1">IFERROR(__xludf.DUMMYFUNCTION("""COMPUTED_VALUE"""),"")</f>
        <v/>
      </c>
      <c r="M246" s="29" t="str">
        <f ca="1">IFERROR(__xludf.DUMMYFUNCTION("""COMPUTED_VALUE"""),"")</f>
        <v/>
      </c>
      <c r="N246" s="29" t="str">
        <f ca="1">IFERROR(__xludf.DUMMYFUNCTION("""COMPUTED_VALUE"""),"")</f>
        <v/>
      </c>
    </row>
    <row r="247" spans="2:14" ht="12.5">
      <c r="B247" s="2"/>
      <c r="C247" s="2" t="str">
        <f ca="1">IFERROR(__xludf.DUMMYFUNCTION("""COMPUTED_VALUE"""),"")</f>
        <v/>
      </c>
      <c r="D247" s="2" t="str">
        <f ca="1">IFERROR(__xludf.DUMMYFUNCTION("""COMPUTED_VALUE"""),"")</f>
        <v/>
      </c>
      <c r="E247" s="29" t="str">
        <f ca="1">IFERROR(__xludf.DUMMYFUNCTION("""COMPUTED_VALUE"""),"")</f>
        <v/>
      </c>
      <c r="F247" s="30" t="str">
        <f ca="1">IFERROR(__xludf.DUMMYFUNCTION("""COMPUTED_VALUE"""),"")</f>
        <v/>
      </c>
      <c r="G247" s="29" t="str">
        <f ca="1">IFERROR(__xludf.DUMMYFUNCTION("""COMPUTED_VALUE"""),"")</f>
        <v/>
      </c>
      <c r="H247" s="30" t="str">
        <f ca="1">IFERROR(__xludf.DUMMYFUNCTION("""COMPUTED_VALUE"""),"")</f>
        <v/>
      </c>
      <c r="I247" s="29" t="str">
        <f ca="1">IFERROR(__xludf.DUMMYFUNCTION("""COMPUTED_VALUE"""),"")</f>
        <v/>
      </c>
      <c r="J247" s="29" t="str">
        <f ca="1">IFERROR(__xludf.DUMMYFUNCTION("""COMPUTED_VALUE"""),"")</f>
        <v/>
      </c>
      <c r="K247" s="29" t="str">
        <f ca="1">IFERROR(__xludf.DUMMYFUNCTION("""COMPUTED_VALUE"""),"")</f>
        <v/>
      </c>
      <c r="L247" s="29" t="str">
        <f ca="1">IFERROR(__xludf.DUMMYFUNCTION("""COMPUTED_VALUE"""),"")</f>
        <v/>
      </c>
      <c r="M247" s="29" t="str">
        <f ca="1">IFERROR(__xludf.DUMMYFUNCTION("""COMPUTED_VALUE"""),"")</f>
        <v/>
      </c>
      <c r="N247" s="29" t="str">
        <f ca="1">IFERROR(__xludf.DUMMYFUNCTION("""COMPUTED_VALUE"""),"")</f>
        <v/>
      </c>
    </row>
    <row r="248" spans="2:14" ht="12.5">
      <c r="B248" s="2"/>
      <c r="C248" s="2" t="str">
        <f ca="1">IFERROR(__xludf.DUMMYFUNCTION("""COMPUTED_VALUE"""),"")</f>
        <v/>
      </c>
      <c r="D248" s="2" t="str">
        <f ca="1">IFERROR(__xludf.DUMMYFUNCTION("""COMPUTED_VALUE"""),"")</f>
        <v/>
      </c>
      <c r="E248" s="29" t="str">
        <f ca="1">IFERROR(__xludf.DUMMYFUNCTION("""COMPUTED_VALUE"""),"")</f>
        <v/>
      </c>
      <c r="F248" s="30" t="str">
        <f ca="1">IFERROR(__xludf.DUMMYFUNCTION("""COMPUTED_VALUE"""),"")</f>
        <v/>
      </c>
      <c r="G248" s="29" t="str">
        <f ca="1">IFERROR(__xludf.DUMMYFUNCTION("""COMPUTED_VALUE"""),"")</f>
        <v/>
      </c>
      <c r="H248" s="30" t="str">
        <f ca="1">IFERROR(__xludf.DUMMYFUNCTION("""COMPUTED_VALUE"""),"")</f>
        <v/>
      </c>
      <c r="I248" s="29" t="str">
        <f ca="1">IFERROR(__xludf.DUMMYFUNCTION("""COMPUTED_VALUE"""),"")</f>
        <v/>
      </c>
      <c r="J248" s="29" t="str">
        <f ca="1">IFERROR(__xludf.DUMMYFUNCTION("""COMPUTED_VALUE"""),"")</f>
        <v/>
      </c>
      <c r="K248" s="29" t="str">
        <f ca="1">IFERROR(__xludf.DUMMYFUNCTION("""COMPUTED_VALUE"""),"")</f>
        <v/>
      </c>
      <c r="L248" s="29" t="str">
        <f ca="1">IFERROR(__xludf.DUMMYFUNCTION("""COMPUTED_VALUE"""),"")</f>
        <v/>
      </c>
      <c r="M248" s="29" t="str">
        <f ca="1">IFERROR(__xludf.DUMMYFUNCTION("""COMPUTED_VALUE"""),"")</f>
        <v/>
      </c>
      <c r="N248" s="29" t="str">
        <f ca="1">IFERROR(__xludf.DUMMYFUNCTION("""COMPUTED_VALUE"""),"")</f>
        <v/>
      </c>
    </row>
    <row r="249" spans="2:14" ht="12.5">
      <c r="B249" s="2"/>
      <c r="C249" s="2" t="str">
        <f ca="1">IFERROR(__xludf.DUMMYFUNCTION("""COMPUTED_VALUE"""),"")</f>
        <v/>
      </c>
      <c r="D249" s="2" t="str">
        <f ca="1">IFERROR(__xludf.DUMMYFUNCTION("""COMPUTED_VALUE"""),"")</f>
        <v/>
      </c>
      <c r="E249" s="29" t="str">
        <f ca="1">IFERROR(__xludf.DUMMYFUNCTION("""COMPUTED_VALUE"""),"")</f>
        <v/>
      </c>
      <c r="F249" s="30" t="str">
        <f ca="1">IFERROR(__xludf.DUMMYFUNCTION("""COMPUTED_VALUE"""),"")</f>
        <v/>
      </c>
      <c r="G249" s="29" t="str">
        <f ca="1">IFERROR(__xludf.DUMMYFUNCTION("""COMPUTED_VALUE"""),"")</f>
        <v/>
      </c>
      <c r="H249" s="30" t="str">
        <f ca="1">IFERROR(__xludf.DUMMYFUNCTION("""COMPUTED_VALUE"""),"")</f>
        <v/>
      </c>
      <c r="I249" s="29" t="str">
        <f ca="1">IFERROR(__xludf.DUMMYFUNCTION("""COMPUTED_VALUE"""),"")</f>
        <v/>
      </c>
      <c r="J249" s="29" t="str">
        <f ca="1">IFERROR(__xludf.DUMMYFUNCTION("""COMPUTED_VALUE"""),"")</f>
        <v/>
      </c>
      <c r="K249" s="29" t="str">
        <f ca="1">IFERROR(__xludf.DUMMYFUNCTION("""COMPUTED_VALUE"""),"")</f>
        <v/>
      </c>
      <c r="L249" s="29" t="str">
        <f ca="1">IFERROR(__xludf.DUMMYFUNCTION("""COMPUTED_VALUE"""),"")</f>
        <v/>
      </c>
      <c r="M249" s="29" t="str">
        <f ca="1">IFERROR(__xludf.DUMMYFUNCTION("""COMPUTED_VALUE"""),"")</f>
        <v/>
      </c>
      <c r="N249" s="29" t="str">
        <f ca="1">IFERROR(__xludf.DUMMYFUNCTION("""COMPUTED_VALUE"""),"")</f>
        <v/>
      </c>
    </row>
    <row r="250" spans="2:14" ht="12.5">
      <c r="B250" s="2"/>
      <c r="C250" s="2" t="str">
        <f ca="1">IFERROR(__xludf.DUMMYFUNCTION("""COMPUTED_VALUE"""),"")</f>
        <v/>
      </c>
      <c r="D250" s="2" t="str">
        <f ca="1">IFERROR(__xludf.DUMMYFUNCTION("""COMPUTED_VALUE"""),"")</f>
        <v/>
      </c>
      <c r="E250" s="29" t="str">
        <f ca="1">IFERROR(__xludf.DUMMYFUNCTION("""COMPUTED_VALUE"""),"")</f>
        <v/>
      </c>
      <c r="F250" s="30" t="str">
        <f ca="1">IFERROR(__xludf.DUMMYFUNCTION("""COMPUTED_VALUE"""),"")</f>
        <v/>
      </c>
      <c r="G250" s="29" t="str">
        <f ca="1">IFERROR(__xludf.DUMMYFUNCTION("""COMPUTED_VALUE"""),"")</f>
        <v/>
      </c>
      <c r="H250" s="30" t="str">
        <f ca="1">IFERROR(__xludf.DUMMYFUNCTION("""COMPUTED_VALUE"""),"")</f>
        <v/>
      </c>
      <c r="I250" s="29" t="str">
        <f ca="1">IFERROR(__xludf.DUMMYFUNCTION("""COMPUTED_VALUE"""),"")</f>
        <v/>
      </c>
      <c r="J250" s="29" t="str">
        <f ca="1">IFERROR(__xludf.DUMMYFUNCTION("""COMPUTED_VALUE"""),"")</f>
        <v/>
      </c>
      <c r="K250" s="29" t="str">
        <f ca="1">IFERROR(__xludf.DUMMYFUNCTION("""COMPUTED_VALUE"""),"")</f>
        <v/>
      </c>
      <c r="L250" s="29" t="str">
        <f ca="1">IFERROR(__xludf.DUMMYFUNCTION("""COMPUTED_VALUE"""),"")</f>
        <v/>
      </c>
      <c r="M250" s="29" t="str">
        <f ca="1">IFERROR(__xludf.DUMMYFUNCTION("""COMPUTED_VALUE"""),"")</f>
        <v/>
      </c>
      <c r="N250" s="29" t="str">
        <f ca="1">IFERROR(__xludf.DUMMYFUNCTION("""COMPUTED_VALUE"""),"")</f>
        <v/>
      </c>
    </row>
    <row r="251" spans="2:14" ht="12.5">
      <c r="B251" s="2"/>
      <c r="C251" s="2" t="str">
        <f ca="1">IFERROR(__xludf.DUMMYFUNCTION("""COMPUTED_VALUE"""),"")</f>
        <v/>
      </c>
      <c r="D251" s="2" t="str">
        <f ca="1">IFERROR(__xludf.DUMMYFUNCTION("""COMPUTED_VALUE"""),"")</f>
        <v/>
      </c>
      <c r="E251" s="29" t="str">
        <f ca="1">IFERROR(__xludf.DUMMYFUNCTION("""COMPUTED_VALUE"""),"")</f>
        <v/>
      </c>
      <c r="F251" s="30" t="str">
        <f ca="1">IFERROR(__xludf.DUMMYFUNCTION("""COMPUTED_VALUE"""),"")</f>
        <v/>
      </c>
      <c r="G251" s="29" t="str">
        <f ca="1">IFERROR(__xludf.DUMMYFUNCTION("""COMPUTED_VALUE"""),"")</f>
        <v/>
      </c>
      <c r="H251" s="30" t="str">
        <f ca="1">IFERROR(__xludf.DUMMYFUNCTION("""COMPUTED_VALUE"""),"")</f>
        <v/>
      </c>
      <c r="I251" s="29" t="str">
        <f ca="1">IFERROR(__xludf.DUMMYFUNCTION("""COMPUTED_VALUE"""),"")</f>
        <v/>
      </c>
      <c r="J251" s="29" t="str">
        <f ca="1">IFERROR(__xludf.DUMMYFUNCTION("""COMPUTED_VALUE"""),"")</f>
        <v/>
      </c>
      <c r="K251" s="29" t="str">
        <f ca="1">IFERROR(__xludf.DUMMYFUNCTION("""COMPUTED_VALUE"""),"")</f>
        <v/>
      </c>
      <c r="L251" s="29" t="str">
        <f ca="1">IFERROR(__xludf.DUMMYFUNCTION("""COMPUTED_VALUE"""),"")</f>
        <v/>
      </c>
      <c r="M251" s="29" t="str">
        <f ca="1">IFERROR(__xludf.DUMMYFUNCTION("""COMPUTED_VALUE"""),"")</f>
        <v/>
      </c>
      <c r="N251" s="29" t="str">
        <f ca="1">IFERROR(__xludf.DUMMYFUNCTION("""COMPUTED_VALUE"""),"")</f>
        <v/>
      </c>
    </row>
    <row r="252" spans="2:14" ht="12.5">
      <c r="B252" s="2"/>
      <c r="C252" s="2" t="str">
        <f ca="1">IFERROR(__xludf.DUMMYFUNCTION("""COMPUTED_VALUE"""),"")</f>
        <v/>
      </c>
      <c r="D252" s="2" t="str">
        <f ca="1">IFERROR(__xludf.DUMMYFUNCTION("""COMPUTED_VALUE"""),"")</f>
        <v/>
      </c>
      <c r="E252" s="29" t="str">
        <f ca="1">IFERROR(__xludf.DUMMYFUNCTION("""COMPUTED_VALUE"""),"")</f>
        <v/>
      </c>
      <c r="F252" s="30" t="str">
        <f ca="1">IFERROR(__xludf.DUMMYFUNCTION("""COMPUTED_VALUE"""),"")</f>
        <v/>
      </c>
      <c r="G252" s="29" t="str">
        <f ca="1">IFERROR(__xludf.DUMMYFUNCTION("""COMPUTED_VALUE"""),"")</f>
        <v/>
      </c>
      <c r="H252" s="30" t="str">
        <f ca="1">IFERROR(__xludf.DUMMYFUNCTION("""COMPUTED_VALUE"""),"")</f>
        <v/>
      </c>
      <c r="I252" s="29" t="str">
        <f ca="1">IFERROR(__xludf.DUMMYFUNCTION("""COMPUTED_VALUE"""),"")</f>
        <v/>
      </c>
      <c r="J252" s="29" t="str">
        <f ca="1">IFERROR(__xludf.DUMMYFUNCTION("""COMPUTED_VALUE"""),"")</f>
        <v/>
      </c>
      <c r="K252" s="29" t="str">
        <f ca="1">IFERROR(__xludf.DUMMYFUNCTION("""COMPUTED_VALUE"""),"")</f>
        <v/>
      </c>
      <c r="L252" s="29" t="str">
        <f ca="1">IFERROR(__xludf.DUMMYFUNCTION("""COMPUTED_VALUE"""),"")</f>
        <v/>
      </c>
      <c r="M252" s="29" t="str">
        <f ca="1">IFERROR(__xludf.DUMMYFUNCTION("""COMPUTED_VALUE"""),"")</f>
        <v/>
      </c>
      <c r="N252" s="29" t="str">
        <f ca="1">IFERROR(__xludf.DUMMYFUNCTION("""COMPUTED_VALUE"""),"")</f>
        <v/>
      </c>
    </row>
    <row r="253" spans="2:14" ht="12.5">
      <c r="B253" s="2"/>
      <c r="C253" s="2" t="str">
        <f ca="1">IFERROR(__xludf.DUMMYFUNCTION("""COMPUTED_VALUE"""),"")</f>
        <v/>
      </c>
      <c r="D253" s="2" t="str">
        <f ca="1">IFERROR(__xludf.DUMMYFUNCTION("""COMPUTED_VALUE"""),"")</f>
        <v/>
      </c>
      <c r="E253" s="29" t="str">
        <f ca="1">IFERROR(__xludf.DUMMYFUNCTION("""COMPUTED_VALUE"""),"")</f>
        <v/>
      </c>
      <c r="F253" s="30" t="str">
        <f ca="1">IFERROR(__xludf.DUMMYFUNCTION("""COMPUTED_VALUE"""),"")</f>
        <v/>
      </c>
      <c r="G253" s="29" t="str">
        <f ca="1">IFERROR(__xludf.DUMMYFUNCTION("""COMPUTED_VALUE"""),"")</f>
        <v/>
      </c>
      <c r="H253" s="30" t="str">
        <f ca="1">IFERROR(__xludf.DUMMYFUNCTION("""COMPUTED_VALUE"""),"")</f>
        <v/>
      </c>
      <c r="I253" s="29" t="str">
        <f ca="1">IFERROR(__xludf.DUMMYFUNCTION("""COMPUTED_VALUE"""),"")</f>
        <v/>
      </c>
      <c r="J253" s="29" t="str">
        <f ca="1">IFERROR(__xludf.DUMMYFUNCTION("""COMPUTED_VALUE"""),"")</f>
        <v/>
      </c>
      <c r="K253" s="29" t="str">
        <f ca="1">IFERROR(__xludf.DUMMYFUNCTION("""COMPUTED_VALUE"""),"")</f>
        <v/>
      </c>
      <c r="L253" s="29" t="str">
        <f ca="1">IFERROR(__xludf.DUMMYFUNCTION("""COMPUTED_VALUE"""),"")</f>
        <v/>
      </c>
      <c r="M253" s="29" t="str">
        <f ca="1">IFERROR(__xludf.DUMMYFUNCTION("""COMPUTED_VALUE"""),"")</f>
        <v/>
      </c>
      <c r="N253" s="29" t="str">
        <f ca="1">IFERROR(__xludf.DUMMYFUNCTION("""COMPUTED_VALUE"""),"")</f>
        <v/>
      </c>
    </row>
    <row r="254" spans="2:14" ht="12.5">
      <c r="B254" s="2"/>
      <c r="C254" s="2" t="str">
        <f ca="1">IFERROR(__xludf.DUMMYFUNCTION("""COMPUTED_VALUE"""),"")</f>
        <v/>
      </c>
      <c r="D254" s="2" t="str">
        <f ca="1">IFERROR(__xludf.DUMMYFUNCTION("""COMPUTED_VALUE"""),"")</f>
        <v/>
      </c>
      <c r="E254" s="29" t="str">
        <f ca="1">IFERROR(__xludf.DUMMYFUNCTION("""COMPUTED_VALUE"""),"")</f>
        <v/>
      </c>
      <c r="F254" s="30" t="str">
        <f ca="1">IFERROR(__xludf.DUMMYFUNCTION("""COMPUTED_VALUE"""),"")</f>
        <v/>
      </c>
      <c r="G254" s="29" t="str">
        <f ca="1">IFERROR(__xludf.DUMMYFUNCTION("""COMPUTED_VALUE"""),"")</f>
        <v/>
      </c>
      <c r="H254" s="30" t="str">
        <f ca="1">IFERROR(__xludf.DUMMYFUNCTION("""COMPUTED_VALUE"""),"")</f>
        <v/>
      </c>
      <c r="I254" s="29" t="str">
        <f ca="1">IFERROR(__xludf.DUMMYFUNCTION("""COMPUTED_VALUE"""),"")</f>
        <v/>
      </c>
      <c r="J254" s="29" t="str">
        <f ca="1">IFERROR(__xludf.DUMMYFUNCTION("""COMPUTED_VALUE"""),"")</f>
        <v/>
      </c>
      <c r="K254" s="29" t="str">
        <f ca="1">IFERROR(__xludf.DUMMYFUNCTION("""COMPUTED_VALUE"""),"")</f>
        <v/>
      </c>
      <c r="L254" s="29" t="str">
        <f ca="1">IFERROR(__xludf.DUMMYFUNCTION("""COMPUTED_VALUE"""),"")</f>
        <v/>
      </c>
      <c r="M254" s="29" t="str">
        <f ca="1">IFERROR(__xludf.DUMMYFUNCTION("""COMPUTED_VALUE"""),"")</f>
        <v/>
      </c>
      <c r="N254" s="29" t="str">
        <f ca="1">IFERROR(__xludf.DUMMYFUNCTION("""COMPUTED_VALUE"""),"")</f>
        <v/>
      </c>
    </row>
    <row r="255" spans="2:14" ht="12.5">
      <c r="B255" s="2"/>
      <c r="C255" s="2" t="str">
        <f ca="1">IFERROR(__xludf.DUMMYFUNCTION("""COMPUTED_VALUE"""),"")</f>
        <v/>
      </c>
      <c r="D255" s="2" t="str">
        <f ca="1">IFERROR(__xludf.DUMMYFUNCTION("""COMPUTED_VALUE"""),"")</f>
        <v/>
      </c>
      <c r="E255" s="29" t="str">
        <f ca="1">IFERROR(__xludf.DUMMYFUNCTION("""COMPUTED_VALUE"""),"")</f>
        <v/>
      </c>
      <c r="F255" s="30" t="str">
        <f ca="1">IFERROR(__xludf.DUMMYFUNCTION("""COMPUTED_VALUE"""),"")</f>
        <v/>
      </c>
      <c r="G255" s="29" t="str">
        <f ca="1">IFERROR(__xludf.DUMMYFUNCTION("""COMPUTED_VALUE"""),"")</f>
        <v/>
      </c>
      <c r="H255" s="30" t="str">
        <f ca="1">IFERROR(__xludf.DUMMYFUNCTION("""COMPUTED_VALUE"""),"")</f>
        <v/>
      </c>
      <c r="I255" s="29" t="str">
        <f ca="1">IFERROR(__xludf.DUMMYFUNCTION("""COMPUTED_VALUE"""),"")</f>
        <v/>
      </c>
      <c r="J255" s="29" t="str">
        <f ca="1">IFERROR(__xludf.DUMMYFUNCTION("""COMPUTED_VALUE"""),"")</f>
        <v/>
      </c>
      <c r="K255" s="29" t="str">
        <f ca="1">IFERROR(__xludf.DUMMYFUNCTION("""COMPUTED_VALUE"""),"")</f>
        <v/>
      </c>
      <c r="L255" s="29" t="str">
        <f ca="1">IFERROR(__xludf.DUMMYFUNCTION("""COMPUTED_VALUE"""),"")</f>
        <v/>
      </c>
      <c r="M255" s="29" t="str">
        <f ca="1">IFERROR(__xludf.DUMMYFUNCTION("""COMPUTED_VALUE"""),"")</f>
        <v/>
      </c>
      <c r="N255" s="29" t="str">
        <f ca="1">IFERROR(__xludf.DUMMYFUNCTION("""COMPUTED_VALUE"""),"")</f>
        <v/>
      </c>
    </row>
    <row r="256" spans="2:14" ht="12.5">
      <c r="B256" s="2"/>
      <c r="C256" s="2" t="str">
        <f ca="1">IFERROR(__xludf.DUMMYFUNCTION("""COMPUTED_VALUE"""),"")</f>
        <v/>
      </c>
      <c r="D256" s="2" t="str">
        <f ca="1">IFERROR(__xludf.DUMMYFUNCTION("""COMPUTED_VALUE"""),"")</f>
        <v/>
      </c>
      <c r="E256" s="29" t="str">
        <f ca="1">IFERROR(__xludf.DUMMYFUNCTION("""COMPUTED_VALUE"""),"")</f>
        <v/>
      </c>
      <c r="F256" s="30" t="str">
        <f ca="1">IFERROR(__xludf.DUMMYFUNCTION("""COMPUTED_VALUE"""),"")</f>
        <v/>
      </c>
      <c r="G256" s="29" t="str">
        <f ca="1">IFERROR(__xludf.DUMMYFUNCTION("""COMPUTED_VALUE"""),"")</f>
        <v/>
      </c>
      <c r="H256" s="30" t="str">
        <f ca="1">IFERROR(__xludf.DUMMYFUNCTION("""COMPUTED_VALUE"""),"")</f>
        <v/>
      </c>
      <c r="I256" s="29" t="str">
        <f ca="1">IFERROR(__xludf.DUMMYFUNCTION("""COMPUTED_VALUE"""),"")</f>
        <v/>
      </c>
      <c r="J256" s="29" t="str">
        <f ca="1">IFERROR(__xludf.DUMMYFUNCTION("""COMPUTED_VALUE"""),"")</f>
        <v/>
      </c>
      <c r="K256" s="29" t="str">
        <f ca="1">IFERROR(__xludf.DUMMYFUNCTION("""COMPUTED_VALUE"""),"")</f>
        <v/>
      </c>
      <c r="L256" s="29" t="str">
        <f ca="1">IFERROR(__xludf.DUMMYFUNCTION("""COMPUTED_VALUE"""),"")</f>
        <v/>
      </c>
      <c r="M256" s="29" t="str">
        <f ca="1">IFERROR(__xludf.DUMMYFUNCTION("""COMPUTED_VALUE"""),"")</f>
        <v/>
      </c>
      <c r="N256" s="29" t="str">
        <f ca="1">IFERROR(__xludf.DUMMYFUNCTION("""COMPUTED_VALUE"""),"")</f>
        <v/>
      </c>
    </row>
    <row r="257" spans="2:14" ht="12.5">
      <c r="B257" s="2"/>
      <c r="C257" s="2" t="str">
        <f ca="1">IFERROR(__xludf.DUMMYFUNCTION("""COMPUTED_VALUE"""),"")</f>
        <v/>
      </c>
      <c r="D257" s="2" t="str">
        <f ca="1">IFERROR(__xludf.DUMMYFUNCTION("""COMPUTED_VALUE"""),"")</f>
        <v/>
      </c>
      <c r="E257" s="29" t="str">
        <f ca="1">IFERROR(__xludf.DUMMYFUNCTION("""COMPUTED_VALUE"""),"")</f>
        <v/>
      </c>
      <c r="F257" s="30" t="str">
        <f ca="1">IFERROR(__xludf.DUMMYFUNCTION("""COMPUTED_VALUE"""),"")</f>
        <v/>
      </c>
      <c r="G257" s="29" t="str">
        <f ca="1">IFERROR(__xludf.DUMMYFUNCTION("""COMPUTED_VALUE"""),"")</f>
        <v/>
      </c>
      <c r="H257" s="30" t="str">
        <f ca="1">IFERROR(__xludf.DUMMYFUNCTION("""COMPUTED_VALUE"""),"")</f>
        <v/>
      </c>
      <c r="I257" s="29" t="str">
        <f ca="1">IFERROR(__xludf.DUMMYFUNCTION("""COMPUTED_VALUE"""),"")</f>
        <v/>
      </c>
      <c r="J257" s="29" t="str">
        <f ca="1">IFERROR(__xludf.DUMMYFUNCTION("""COMPUTED_VALUE"""),"")</f>
        <v/>
      </c>
      <c r="K257" s="29" t="str">
        <f ca="1">IFERROR(__xludf.DUMMYFUNCTION("""COMPUTED_VALUE"""),"")</f>
        <v/>
      </c>
      <c r="L257" s="29" t="str">
        <f ca="1">IFERROR(__xludf.DUMMYFUNCTION("""COMPUTED_VALUE"""),"")</f>
        <v/>
      </c>
      <c r="M257" s="29" t="str">
        <f ca="1">IFERROR(__xludf.DUMMYFUNCTION("""COMPUTED_VALUE"""),"")</f>
        <v/>
      </c>
      <c r="N257" s="29" t="str">
        <f ca="1">IFERROR(__xludf.DUMMYFUNCTION("""COMPUTED_VALUE"""),"")</f>
        <v/>
      </c>
    </row>
    <row r="258" spans="2:14" ht="12.5">
      <c r="B258" s="2"/>
      <c r="C258" s="2" t="str">
        <f ca="1">IFERROR(__xludf.DUMMYFUNCTION("""COMPUTED_VALUE"""),"")</f>
        <v/>
      </c>
      <c r="D258" s="2" t="str">
        <f ca="1">IFERROR(__xludf.DUMMYFUNCTION("""COMPUTED_VALUE"""),"")</f>
        <v/>
      </c>
      <c r="E258" s="29" t="str">
        <f ca="1">IFERROR(__xludf.DUMMYFUNCTION("""COMPUTED_VALUE"""),"")</f>
        <v/>
      </c>
      <c r="F258" s="30" t="str">
        <f ca="1">IFERROR(__xludf.DUMMYFUNCTION("""COMPUTED_VALUE"""),"")</f>
        <v/>
      </c>
      <c r="G258" s="29" t="str">
        <f ca="1">IFERROR(__xludf.DUMMYFUNCTION("""COMPUTED_VALUE"""),"")</f>
        <v/>
      </c>
      <c r="H258" s="30" t="str">
        <f ca="1">IFERROR(__xludf.DUMMYFUNCTION("""COMPUTED_VALUE"""),"")</f>
        <v/>
      </c>
      <c r="I258" s="29" t="str">
        <f ca="1">IFERROR(__xludf.DUMMYFUNCTION("""COMPUTED_VALUE"""),"")</f>
        <v/>
      </c>
      <c r="J258" s="29" t="str">
        <f ca="1">IFERROR(__xludf.DUMMYFUNCTION("""COMPUTED_VALUE"""),"")</f>
        <v/>
      </c>
      <c r="K258" s="29" t="str">
        <f ca="1">IFERROR(__xludf.DUMMYFUNCTION("""COMPUTED_VALUE"""),"")</f>
        <v/>
      </c>
      <c r="L258" s="29" t="str">
        <f ca="1">IFERROR(__xludf.DUMMYFUNCTION("""COMPUTED_VALUE"""),"")</f>
        <v/>
      </c>
      <c r="M258" s="29" t="str">
        <f ca="1">IFERROR(__xludf.DUMMYFUNCTION("""COMPUTED_VALUE"""),"")</f>
        <v/>
      </c>
      <c r="N258" s="29" t="str">
        <f ca="1">IFERROR(__xludf.DUMMYFUNCTION("""COMPUTED_VALUE"""),"")</f>
        <v/>
      </c>
    </row>
    <row r="259" spans="2:14" ht="12.5">
      <c r="B259" s="2"/>
      <c r="C259" s="2" t="str">
        <f ca="1">IFERROR(__xludf.DUMMYFUNCTION("""COMPUTED_VALUE"""),"")</f>
        <v/>
      </c>
      <c r="D259" s="2" t="str">
        <f ca="1">IFERROR(__xludf.DUMMYFUNCTION("""COMPUTED_VALUE"""),"")</f>
        <v/>
      </c>
      <c r="E259" s="29" t="str">
        <f ca="1">IFERROR(__xludf.DUMMYFUNCTION("""COMPUTED_VALUE"""),"")</f>
        <v/>
      </c>
      <c r="F259" s="30" t="str">
        <f ca="1">IFERROR(__xludf.DUMMYFUNCTION("""COMPUTED_VALUE"""),"")</f>
        <v/>
      </c>
      <c r="G259" s="29" t="str">
        <f ca="1">IFERROR(__xludf.DUMMYFUNCTION("""COMPUTED_VALUE"""),"")</f>
        <v/>
      </c>
      <c r="H259" s="30" t="str">
        <f ca="1">IFERROR(__xludf.DUMMYFUNCTION("""COMPUTED_VALUE"""),"")</f>
        <v/>
      </c>
      <c r="I259" s="29" t="str">
        <f ca="1">IFERROR(__xludf.DUMMYFUNCTION("""COMPUTED_VALUE"""),"")</f>
        <v/>
      </c>
      <c r="J259" s="29" t="str">
        <f ca="1">IFERROR(__xludf.DUMMYFUNCTION("""COMPUTED_VALUE"""),"")</f>
        <v/>
      </c>
      <c r="K259" s="29" t="str">
        <f ca="1">IFERROR(__xludf.DUMMYFUNCTION("""COMPUTED_VALUE"""),"")</f>
        <v/>
      </c>
      <c r="L259" s="29" t="str">
        <f ca="1">IFERROR(__xludf.DUMMYFUNCTION("""COMPUTED_VALUE"""),"")</f>
        <v/>
      </c>
      <c r="M259" s="29" t="str">
        <f ca="1">IFERROR(__xludf.DUMMYFUNCTION("""COMPUTED_VALUE"""),"")</f>
        <v/>
      </c>
      <c r="N259" s="29" t="str">
        <f ca="1">IFERROR(__xludf.DUMMYFUNCTION("""COMPUTED_VALUE"""),"")</f>
        <v/>
      </c>
    </row>
    <row r="260" spans="2:14" ht="12.5">
      <c r="B260" s="2"/>
      <c r="C260" s="2" t="str">
        <f ca="1">IFERROR(__xludf.DUMMYFUNCTION("""COMPUTED_VALUE"""),"")</f>
        <v/>
      </c>
      <c r="D260" s="2" t="str">
        <f ca="1">IFERROR(__xludf.DUMMYFUNCTION("""COMPUTED_VALUE"""),"")</f>
        <v/>
      </c>
      <c r="E260" s="29" t="str">
        <f ca="1">IFERROR(__xludf.DUMMYFUNCTION("""COMPUTED_VALUE"""),"")</f>
        <v/>
      </c>
      <c r="F260" s="30" t="str">
        <f ca="1">IFERROR(__xludf.DUMMYFUNCTION("""COMPUTED_VALUE"""),"")</f>
        <v/>
      </c>
      <c r="G260" s="29" t="str">
        <f ca="1">IFERROR(__xludf.DUMMYFUNCTION("""COMPUTED_VALUE"""),"")</f>
        <v/>
      </c>
      <c r="H260" s="30" t="str">
        <f ca="1">IFERROR(__xludf.DUMMYFUNCTION("""COMPUTED_VALUE"""),"")</f>
        <v/>
      </c>
      <c r="I260" s="29" t="str">
        <f ca="1">IFERROR(__xludf.DUMMYFUNCTION("""COMPUTED_VALUE"""),"")</f>
        <v/>
      </c>
      <c r="J260" s="29" t="str">
        <f ca="1">IFERROR(__xludf.DUMMYFUNCTION("""COMPUTED_VALUE"""),"")</f>
        <v/>
      </c>
      <c r="K260" s="29" t="str">
        <f ca="1">IFERROR(__xludf.DUMMYFUNCTION("""COMPUTED_VALUE"""),"")</f>
        <v/>
      </c>
      <c r="L260" s="29" t="str">
        <f ca="1">IFERROR(__xludf.DUMMYFUNCTION("""COMPUTED_VALUE"""),"")</f>
        <v/>
      </c>
      <c r="M260" s="29" t="str">
        <f ca="1">IFERROR(__xludf.DUMMYFUNCTION("""COMPUTED_VALUE"""),"")</f>
        <v/>
      </c>
      <c r="N260" s="29" t="str">
        <f ca="1">IFERROR(__xludf.DUMMYFUNCTION("""COMPUTED_VALUE"""),"")</f>
        <v/>
      </c>
    </row>
    <row r="261" spans="2:14" ht="12.5">
      <c r="B261" s="2"/>
      <c r="C261" s="2" t="str">
        <f ca="1">IFERROR(__xludf.DUMMYFUNCTION("""COMPUTED_VALUE"""),"")</f>
        <v/>
      </c>
      <c r="D261" s="2" t="str">
        <f ca="1">IFERROR(__xludf.DUMMYFUNCTION("""COMPUTED_VALUE"""),"")</f>
        <v/>
      </c>
      <c r="E261" s="29" t="str">
        <f ca="1">IFERROR(__xludf.DUMMYFUNCTION("""COMPUTED_VALUE"""),"")</f>
        <v/>
      </c>
      <c r="F261" s="30" t="str">
        <f ca="1">IFERROR(__xludf.DUMMYFUNCTION("""COMPUTED_VALUE"""),"")</f>
        <v/>
      </c>
      <c r="G261" s="29" t="str">
        <f ca="1">IFERROR(__xludf.DUMMYFUNCTION("""COMPUTED_VALUE"""),"")</f>
        <v/>
      </c>
      <c r="H261" s="30" t="str">
        <f ca="1">IFERROR(__xludf.DUMMYFUNCTION("""COMPUTED_VALUE"""),"")</f>
        <v/>
      </c>
      <c r="I261" s="29" t="str">
        <f ca="1">IFERROR(__xludf.DUMMYFUNCTION("""COMPUTED_VALUE"""),"")</f>
        <v/>
      </c>
      <c r="J261" s="29" t="str">
        <f ca="1">IFERROR(__xludf.DUMMYFUNCTION("""COMPUTED_VALUE"""),"")</f>
        <v/>
      </c>
      <c r="K261" s="29" t="str">
        <f ca="1">IFERROR(__xludf.DUMMYFUNCTION("""COMPUTED_VALUE"""),"")</f>
        <v/>
      </c>
      <c r="L261" s="29" t="str">
        <f ca="1">IFERROR(__xludf.DUMMYFUNCTION("""COMPUTED_VALUE"""),"")</f>
        <v/>
      </c>
      <c r="M261" s="29" t="str">
        <f ca="1">IFERROR(__xludf.DUMMYFUNCTION("""COMPUTED_VALUE"""),"")</f>
        <v/>
      </c>
      <c r="N261" s="29" t="str">
        <f ca="1">IFERROR(__xludf.DUMMYFUNCTION("""COMPUTED_VALUE"""),"")</f>
        <v/>
      </c>
    </row>
    <row r="262" spans="2:14" ht="12.5">
      <c r="B262" s="2"/>
      <c r="C262" s="2" t="str">
        <f ca="1">IFERROR(__xludf.DUMMYFUNCTION("""COMPUTED_VALUE"""),"")</f>
        <v/>
      </c>
      <c r="D262" s="2" t="str">
        <f ca="1">IFERROR(__xludf.DUMMYFUNCTION("""COMPUTED_VALUE"""),"")</f>
        <v/>
      </c>
      <c r="E262" s="29" t="str">
        <f ca="1">IFERROR(__xludf.DUMMYFUNCTION("""COMPUTED_VALUE"""),"")</f>
        <v/>
      </c>
      <c r="F262" s="30" t="str">
        <f ca="1">IFERROR(__xludf.DUMMYFUNCTION("""COMPUTED_VALUE"""),"")</f>
        <v/>
      </c>
      <c r="G262" s="29" t="str">
        <f ca="1">IFERROR(__xludf.DUMMYFUNCTION("""COMPUTED_VALUE"""),"")</f>
        <v/>
      </c>
      <c r="H262" s="30" t="str">
        <f ca="1">IFERROR(__xludf.DUMMYFUNCTION("""COMPUTED_VALUE"""),"")</f>
        <v/>
      </c>
      <c r="I262" s="29" t="str">
        <f ca="1">IFERROR(__xludf.DUMMYFUNCTION("""COMPUTED_VALUE"""),"")</f>
        <v/>
      </c>
      <c r="J262" s="29" t="str">
        <f ca="1">IFERROR(__xludf.DUMMYFUNCTION("""COMPUTED_VALUE"""),"")</f>
        <v/>
      </c>
      <c r="K262" s="29" t="str">
        <f ca="1">IFERROR(__xludf.DUMMYFUNCTION("""COMPUTED_VALUE"""),"")</f>
        <v/>
      </c>
      <c r="L262" s="29" t="str">
        <f ca="1">IFERROR(__xludf.DUMMYFUNCTION("""COMPUTED_VALUE"""),"")</f>
        <v/>
      </c>
      <c r="M262" s="29" t="str">
        <f ca="1">IFERROR(__xludf.DUMMYFUNCTION("""COMPUTED_VALUE"""),"")</f>
        <v/>
      </c>
      <c r="N262" s="29" t="str">
        <f ca="1">IFERROR(__xludf.DUMMYFUNCTION("""COMPUTED_VALUE"""),"")</f>
        <v/>
      </c>
    </row>
    <row r="263" spans="2:14" ht="12.5">
      <c r="B263" s="2"/>
      <c r="C263" s="2" t="str">
        <f ca="1">IFERROR(__xludf.DUMMYFUNCTION("""COMPUTED_VALUE"""),"")</f>
        <v/>
      </c>
      <c r="D263" s="2" t="str">
        <f ca="1">IFERROR(__xludf.DUMMYFUNCTION("""COMPUTED_VALUE"""),"")</f>
        <v/>
      </c>
      <c r="E263" s="29" t="str">
        <f ca="1">IFERROR(__xludf.DUMMYFUNCTION("""COMPUTED_VALUE"""),"")</f>
        <v/>
      </c>
      <c r="F263" s="30" t="str">
        <f ca="1">IFERROR(__xludf.DUMMYFUNCTION("""COMPUTED_VALUE"""),"")</f>
        <v/>
      </c>
      <c r="G263" s="29" t="str">
        <f ca="1">IFERROR(__xludf.DUMMYFUNCTION("""COMPUTED_VALUE"""),"")</f>
        <v/>
      </c>
      <c r="H263" s="30" t="str">
        <f ca="1">IFERROR(__xludf.DUMMYFUNCTION("""COMPUTED_VALUE"""),"")</f>
        <v/>
      </c>
      <c r="I263" s="29" t="str">
        <f ca="1">IFERROR(__xludf.DUMMYFUNCTION("""COMPUTED_VALUE"""),"")</f>
        <v/>
      </c>
      <c r="J263" s="29" t="str">
        <f ca="1">IFERROR(__xludf.DUMMYFUNCTION("""COMPUTED_VALUE"""),"")</f>
        <v/>
      </c>
      <c r="K263" s="29" t="str">
        <f ca="1">IFERROR(__xludf.DUMMYFUNCTION("""COMPUTED_VALUE"""),"")</f>
        <v/>
      </c>
      <c r="L263" s="29" t="str">
        <f ca="1">IFERROR(__xludf.DUMMYFUNCTION("""COMPUTED_VALUE"""),"")</f>
        <v/>
      </c>
      <c r="M263" s="29" t="str">
        <f ca="1">IFERROR(__xludf.DUMMYFUNCTION("""COMPUTED_VALUE"""),"")</f>
        <v/>
      </c>
      <c r="N263" s="29" t="str">
        <f ca="1">IFERROR(__xludf.DUMMYFUNCTION("""COMPUTED_VALUE"""),"")</f>
        <v/>
      </c>
    </row>
    <row r="264" spans="2:14" ht="12.5">
      <c r="B264" s="2"/>
      <c r="C264" s="2" t="str">
        <f ca="1">IFERROR(__xludf.DUMMYFUNCTION("""COMPUTED_VALUE"""),"")</f>
        <v/>
      </c>
      <c r="D264" s="2" t="str">
        <f ca="1">IFERROR(__xludf.DUMMYFUNCTION("""COMPUTED_VALUE"""),"")</f>
        <v/>
      </c>
      <c r="E264" s="29" t="str">
        <f ca="1">IFERROR(__xludf.DUMMYFUNCTION("""COMPUTED_VALUE"""),"")</f>
        <v/>
      </c>
      <c r="F264" s="30" t="str">
        <f ca="1">IFERROR(__xludf.DUMMYFUNCTION("""COMPUTED_VALUE"""),"")</f>
        <v/>
      </c>
      <c r="G264" s="29" t="str">
        <f ca="1">IFERROR(__xludf.DUMMYFUNCTION("""COMPUTED_VALUE"""),"")</f>
        <v/>
      </c>
      <c r="H264" s="30" t="str">
        <f ca="1">IFERROR(__xludf.DUMMYFUNCTION("""COMPUTED_VALUE"""),"")</f>
        <v/>
      </c>
      <c r="I264" s="29" t="str">
        <f ca="1">IFERROR(__xludf.DUMMYFUNCTION("""COMPUTED_VALUE"""),"")</f>
        <v/>
      </c>
      <c r="J264" s="29" t="str">
        <f ca="1">IFERROR(__xludf.DUMMYFUNCTION("""COMPUTED_VALUE"""),"")</f>
        <v/>
      </c>
      <c r="K264" s="29" t="str">
        <f ca="1">IFERROR(__xludf.DUMMYFUNCTION("""COMPUTED_VALUE"""),"")</f>
        <v/>
      </c>
      <c r="L264" s="29" t="str">
        <f ca="1">IFERROR(__xludf.DUMMYFUNCTION("""COMPUTED_VALUE"""),"")</f>
        <v/>
      </c>
      <c r="M264" s="29" t="str">
        <f ca="1">IFERROR(__xludf.DUMMYFUNCTION("""COMPUTED_VALUE"""),"")</f>
        <v/>
      </c>
      <c r="N264" s="29" t="str">
        <f ca="1">IFERROR(__xludf.DUMMYFUNCTION("""COMPUTED_VALUE"""),"")</f>
        <v/>
      </c>
    </row>
    <row r="265" spans="2:14" ht="12.5">
      <c r="B265" s="2"/>
      <c r="C265" s="2" t="str">
        <f ca="1">IFERROR(__xludf.DUMMYFUNCTION("""COMPUTED_VALUE"""),"")</f>
        <v/>
      </c>
      <c r="D265" s="2" t="str">
        <f ca="1">IFERROR(__xludf.DUMMYFUNCTION("""COMPUTED_VALUE"""),"")</f>
        <v/>
      </c>
      <c r="E265" s="29" t="str">
        <f ca="1">IFERROR(__xludf.DUMMYFUNCTION("""COMPUTED_VALUE"""),"")</f>
        <v/>
      </c>
      <c r="F265" s="30" t="str">
        <f ca="1">IFERROR(__xludf.DUMMYFUNCTION("""COMPUTED_VALUE"""),"")</f>
        <v/>
      </c>
      <c r="G265" s="29" t="str">
        <f ca="1">IFERROR(__xludf.DUMMYFUNCTION("""COMPUTED_VALUE"""),"")</f>
        <v/>
      </c>
      <c r="H265" s="30" t="str">
        <f ca="1">IFERROR(__xludf.DUMMYFUNCTION("""COMPUTED_VALUE"""),"")</f>
        <v/>
      </c>
      <c r="I265" s="29" t="str">
        <f ca="1">IFERROR(__xludf.DUMMYFUNCTION("""COMPUTED_VALUE"""),"")</f>
        <v/>
      </c>
      <c r="J265" s="29" t="str">
        <f ca="1">IFERROR(__xludf.DUMMYFUNCTION("""COMPUTED_VALUE"""),"")</f>
        <v/>
      </c>
      <c r="K265" s="29" t="str">
        <f ca="1">IFERROR(__xludf.DUMMYFUNCTION("""COMPUTED_VALUE"""),"")</f>
        <v/>
      </c>
      <c r="L265" s="29" t="str">
        <f ca="1">IFERROR(__xludf.DUMMYFUNCTION("""COMPUTED_VALUE"""),"")</f>
        <v/>
      </c>
      <c r="M265" s="29" t="str">
        <f ca="1">IFERROR(__xludf.DUMMYFUNCTION("""COMPUTED_VALUE"""),"")</f>
        <v/>
      </c>
      <c r="N265" s="29" t="str">
        <f ca="1">IFERROR(__xludf.DUMMYFUNCTION("""COMPUTED_VALUE"""),"")</f>
        <v/>
      </c>
    </row>
    <row r="266" spans="2:14" ht="12.5">
      <c r="B266" s="2"/>
      <c r="C266" s="2" t="str">
        <f ca="1">IFERROR(__xludf.DUMMYFUNCTION("""COMPUTED_VALUE"""),"")</f>
        <v/>
      </c>
      <c r="D266" s="2" t="str">
        <f ca="1">IFERROR(__xludf.DUMMYFUNCTION("""COMPUTED_VALUE"""),"")</f>
        <v/>
      </c>
      <c r="E266" s="29" t="str">
        <f ca="1">IFERROR(__xludf.DUMMYFUNCTION("""COMPUTED_VALUE"""),"")</f>
        <v/>
      </c>
      <c r="F266" s="30" t="str">
        <f ca="1">IFERROR(__xludf.DUMMYFUNCTION("""COMPUTED_VALUE"""),"")</f>
        <v/>
      </c>
      <c r="G266" s="29" t="str">
        <f ca="1">IFERROR(__xludf.DUMMYFUNCTION("""COMPUTED_VALUE"""),"")</f>
        <v/>
      </c>
      <c r="H266" s="30" t="str">
        <f ca="1">IFERROR(__xludf.DUMMYFUNCTION("""COMPUTED_VALUE"""),"")</f>
        <v/>
      </c>
      <c r="I266" s="29" t="str">
        <f ca="1">IFERROR(__xludf.DUMMYFUNCTION("""COMPUTED_VALUE"""),"")</f>
        <v/>
      </c>
      <c r="J266" s="29" t="str">
        <f ca="1">IFERROR(__xludf.DUMMYFUNCTION("""COMPUTED_VALUE"""),"")</f>
        <v/>
      </c>
      <c r="K266" s="29" t="str">
        <f ca="1">IFERROR(__xludf.DUMMYFUNCTION("""COMPUTED_VALUE"""),"")</f>
        <v/>
      </c>
      <c r="L266" s="29" t="str">
        <f ca="1">IFERROR(__xludf.DUMMYFUNCTION("""COMPUTED_VALUE"""),"")</f>
        <v/>
      </c>
      <c r="M266" s="29" t="str">
        <f ca="1">IFERROR(__xludf.DUMMYFUNCTION("""COMPUTED_VALUE"""),"")</f>
        <v/>
      </c>
      <c r="N266" s="29" t="str">
        <f ca="1">IFERROR(__xludf.DUMMYFUNCTION("""COMPUTED_VALUE"""),"")</f>
        <v/>
      </c>
    </row>
    <row r="267" spans="2:14" ht="12.5">
      <c r="B267" s="2"/>
      <c r="C267" s="2" t="str">
        <f ca="1">IFERROR(__xludf.DUMMYFUNCTION("""COMPUTED_VALUE"""),"")</f>
        <v/>
      </c>
      <c r="D267" s="2" t="str">
        <f ca="1">IFERROR(__xludf.DUMMYFUNCTION("""COMPUTED_VALUE"""),"")</f>
        <v/>
      </c>
      <c r="E267" s="29" t="str">
        <f ca="1">IFERROR(__xludf.DUMMYFUNCTION("""COMPUTED_VALUE"""),"")</f>
        <v/>
      </c>
      <c r="F267" s="30" t="str">
        <f ca="1">IFERROR(__xludf.DUMMYFUNCTION("""COMPUTED_VALUE"""),"")</f>
        <v/>
      </c>
      <c r="G267" s="29" t="str">
        <f ca="1">IFERROR(__xludf.DUMMYFUNCTION("""COMPUTED_VALUE"""),"")</f>
        <v/>
      </c>
      <c r="H267" s="30" t="str">
        <f ca="1">IFERROR(__xludf.DUMMYFUNCTION("""COMPUTED_VALUE"""),"")</f>
        <v/>
      </c>
      <c r="I267" s="29" t="str">
        <f ca="1">IFERROR(__xludf.DUMMYFUNCTION("""COMPUTED_VALUE"""),"")</f>
        <v/>
      </c>
      <c r="J267" s="29" t="str">
        <f ca="1">IFERROR(__xludf.DUMMYFUNCTION("""COMPUTED_VALUE"""),"")</f>
        <v/>
      </c>
      <c r="K267" s="29" t="str">
        <f ca="1">IFERROR(__xludf.DUMMYFUNCTION("""COMPUTED_VALUE"""),"")</f>
        <v/>
      </c>
      <c r="L267" s="29" t="str">
        <f ca="1">IFERROR(__xludf.DUMMYFUNCTION("""COMPUTED_VALUE"""),"")</f>
        <v/>
      </c>
      <c r="M267" s="29" t="str">
        <f ca="1">IFERROR(__xludf.DUMMYFUNCTION("""COMPUTED_VALUE"""),"")</f>
        <v/>
      </c>
      <c r="N267" s="29" t="str">
        <f ca="1">IFERROR(__xludf.DUMMYFUNCTION("""COMPUTED_VALUE"""),"")</f>
        <v/>
      </c>
    </row>
    <row r="268" spans="2:14" ht="12.5">
      <c r="B268" s="2"/>
      <c r="C268" s="2" t="str">
        <f ca="1">IFERROR(__xludf.DUMMYFUNCTION("""COMPUTED_VALUE"""),"")</f>
        <v/>
      </c>
      <c r="D268" s="2" t="str">
        <f ca="1">IFERROR(__xludf.DUMMYFUNCTION("""COMPUTED_VALUE"""),"")</f>
        <v/>
      </c>
      <c r="E268" s="29" t="str">
        <f ca="1">IFERROR(__xludf.DUMMYFUNCTION("""COMPUTED_VALUE"""),"")</f>
        <v/>
      </c>
      <c r="F268" s="30" t="str">
        <f ca="1">IFERROR(__xludf.DUMMYFUNCTION("""COMPUTED_VALUE"""),"")</f>
        <v/>
      </c>
      <c r="G268" s="29" t="str">
        <f ca="1">IFERROR(__xludf.DUMMYFUNCTION("""COMPUTED_VALUE"""),"")</f>
        <v/>
      </c>
      <c r="H268" s="30" t="str">
        <f ca="1">IFERROR(__xludf.DUMMYFUNCTION("""COMPUTED_VALUE"""),"")</f>
        <v/>
      </c>
      <c r="I268" s="29" t="str">
        <f ca="1">IFERROR(__xludf.DUMMYFUNCTION("""COMPUTED_VALUE"""),"")</f>
        <v/>
      </c>
      <c r="J268" s="29" t="str">
        <f ca="1">IFERROR(__xludf.DUMMYFUNCTION("""COMPUTED_VALUE"""),"")</f>
        <v/>
      </c>
      <c r="K268" s="29" t="str">
        <f ca="1">IFERROR(__xludf.DUMMYFUNCTION("""COMPUTED_VALUE"""),"")</f>
        <v/>
      </c>
      <c r="L268" s="29" t="str">
        <f ca="1">IFERROR(__xludf.DUMMYFUNCTION("""COMPUTED_VALUE"""),"")</f>
        <v/>
      </c>
      <c r="M268" s="29" t="str">
        <f ca="1">IFERROR(__xludf.DUMMYFUNCTION("""COMPUTED_VALUE"""),"")</f>
        <v/>
      </c>
      <c r="N268" s="29" t="str">
        <f ca="1">IFERROR(__xludf.DUMMYFUNCTION("""COMPUTED_VALUE"""),"")</f>
        <v/>
      </c>
    </row>
    <row r="269" spans="2:14" ht="12.5">
      <c r="B269" s="2"/>
      <c r="C269" s="2" t="str">
        <f ca="1">IFERROR(__xludf.DUMMYFUNCTION("""COMPUTED_VALUE"""),"")</f>
        <v/>
      </c>
      <c r="D269" s="2" t="str">
        <f ca="1">IFERROR(__xludf.DUMMYFUNCTION("""COMPUTED_VALUE"""),"")</f>
        <v/>
      </c>
      <c r="E269" s="29" t="str">
        <f ca="1">IFERROR(__xludf.DUMMYFUNCTION("""COMPUTED_VALUE"""),"")</f>
        <v/>
      </c>
      <c r="F269" s="30" t="str">
        <f ca="1">IFERROR(__xludf.DUMMYFUNCTION("""COMPUTED_VALUE"""),"")</f>
        <v/>
      </c>
      <c r="G269" s="29" t="str">
        <f ca="1">IFERROR(__xludf.DUMMYFUNCTION("""COMPUTED_VALUE"""),"")</f>
        <v/>
      </c>
      <c r="H269" s="30" t="str">
        <f ca="1">IFERROR(__xludf.DUMMYFUNCTION("""COMPUTED_VALUE"""),"")</f>
        <v/>
      </c>
      <c r="I269" s="29" t="str">
        <f ca="1">IFERROR(__xludf.DUMMYFUNCTION("""COMPUTED_VALUE"""),"")</f>
        <v/>
      </c>
      <c r="J269" s="29" t="str">
        <f ca="1">IFERROR(__xludf.DUMMYFUNCTION("""COMPUTED_VALUE"""),"")</f>
        <v/>
      </c>
      <c r="K269" s="29" t="str">
        <f ca="1">IFERROR(__xludf.DUMMYFUNCTION("""COMPUTED_VALUE"""),"")</f>
        <v/>
      </c>
      <c r="L269" s="29" t="str">
        <f ca="1">IFERROR(__xludf.DUMMYFUNCTION("""COMPUTED_VALUE"""),"")</f>
        <v/>
      </c>
      <c r="M269" s="29" t="str">
        <f ca="1">IFERROR(__xludf.DUMMYFUNCTION("""COMPUTED_VALUE"""),"")</f>
        <v/>
      </c>
      <c r="N269" s="29" t="str">
        <f ca="1">IFERROR(__xludf.DUMMYFUNCTION("""COMPUTED_VALUE"""),"")</f>
        <v/>
      </c>
    </row>
    <row r="270" spans="2:14" ht="12.5">
      <c r="B270" s="2"/>
      <c r="C270" s="2" t="str">
        <f ca="1">IFERROR(__xludf.DUMMYFUNCTION("""COMPUTED_VALUE"""),"")</f>
        <v/>
      </c>
      <c r="D270" s="2" t="str">
        <f ca="1">IFERROR(__xludf.DUMMYFUNCTION("""COMPUTED_VALUE"""),"")</f>
        <v/>
      </c>
      <c r="E270" s="29" t="str">
        <f ca="1">IFERROR(__xludf.DUMMYFUNCTION("""COMPUTED_VALUE"""),"")</f>
        <v/>
      </c>
      <c r="F270" s="30" t="str">
        <f ca="1">IFERROR(__xludf.DUMMYFUNCTION("""COMPUTED_VALUE"""),"")</f>
        <v/>
      </c>
      <c r="G270" s="29" t="str">
        <f ca="1">IFERROR(__xludf.DUMMYFUNCTION("""COMPUTED_VALUE"""),"")</f>
        <v/>
      </c>
      <c r="H270" s="30" t="str">
        <f ca="1">IFERROR(__xludf.DUMMYFUNCTION("""COMPUTED_VALUE"""),"")</f>
        <v/>
      </c>
      <c r="I270" s="29" t="str">
        <f ca="1">IFERROR(__xludf.DUMMYFUNCTION("""COMPUTED_VALUE"""),"")</f>
        <v/>
      </c>
      <c r="J270" s="29" t="str">
        <f ca="1">IFERROR(__xludf.DUMMYFUNCTION("""COMPUTED_VALUE"""),"")</f>
        <v/>
      </c>
      <c r="K270" s="29" t="str">
        <f ca="1">IFERROR(__xludf.DUMMYFUNCTION("""COMPUTED_VALUE"""),"")</f>
        <v/>
      </c>
      <c r="L270" s="29" t="str">
        <f ca="1">IFERROR(__xludf.DUMMYFUNCTION("""COMPUTED_VALUE"""),"")</f>
        <v/>
      </c>
      <c r="M270" s="29" t="str">
        <f ca="1">IFERROR(__xludf.DUMMYFUNCTION("""COMPUTED_VALUE"""),"")</f>
        <v/>
      </c>
      <c r="N270" s="29" t="str">
        <f ca="1">IFERROR(__xludf.DUMMYFUNCTION("""COMPUTED_VALUE"""),"")</f>
        <v/>
      </c>
    </row>
    <row r="271" spans="2:14" ht="12.5">
      <c r="B271" s="2"/>
      <c r="C271" s="2" t="str">
        <f ca="1">IFERROR(__xludf.DUMMYFUNCTION("""COMPUTED_VALUE"""),"")</f>
        <v/>
      </c>
      <c r="D271" s="2" t="str">
        <f ca="1">IFERROR(__xludf.DUMMYFUNCTION("""COMPUTED_VALUE"""),"")</f>
        <v/>
      </c>
      <c r="E271" s="29" t="str">
        <f ca="1">IFERROR(__xludf.DUMMYFUNCTION("""COMPUTED_VALUE"""),"")</f>
        <v/>
      </c>
      <c r="F271" s="30" t="str">
        <f ca="1">IFERROR(__xludf.DUMMYFUNCTION("""COMPUTED_VALUE"""),"")</f>
        <v/>
      </c>
      <c r="G271" s="29" t="str">
        <f ca="1">IFERROR(__xludf.DUMMYFUNCTION("""COMPUTED_VALUE"""),"")</f>
        <v/>
      </c>
      <c r="H271" s="30" t="str">
        <f ca="1">IFERROR(__xludf.DUMMYFUNCTION("""COMPUTED_VALUE"""),"")</f>
        <v/>
      </c>
      <c r="I271" s="29" t="str">
        <f ca="1">IFERROR(__xludf.DUMMYFUNCTION("""COMPUTED_VALUE"""),"")</f>
        <v/>
      </c>
      <c r="J271" s="29" t="str">
        <f ca="1">IFERROR(__xludf.DUMMYFUNCTION("""COMPUTED_VALUE"""),"")</f>
        <v/>
      </c>
      <c r="K271" s="29" t="str">
        <f ca="1">IFERROR(__xludf.DUMMYFUNCTION("""COMPUTED_VALUE"""),"")</f>
        <v/>
      </c>
      <c r="L271" s="29" t="str">
        <f ca="1">IFERROR(__xludf.DUMMYFUNCTION("""COMPUTED_VALUE"""),"")</f>
        <v/>
      </c>
      <c r="M271" s="29" t="str">
        <f ca="1">IFERROR(__xludf.DUMMYFUNCTION("""COMPUTED_VALUE"""),"")</f>
        <v/>
      </c>
      <c r="N271" s="29" t="str">
        <f ca="1">IFERROR(__xludf.DUMMYFUNCTION("""COMPUTED_VALUE"""),"")</f>
        <v/>
      </c>
    </row>
    <row r="272" spans="2:14" ht="12.5">
      <c r="B272" s="2"/>
      <c r="C272" s="2" t="str">
        <f ca="1">IFERROR(__xludf.DUMMYFUNCTION("""COMPUTED_VALUE"""),"")</f>
        <v/>
      </c>
      <c r="D272" s="2" t="str">
        <f ca="1">IFERROR(__xludf.DUMMYFUNCTION("""COMPUTED_VALUE"""),"")</f>
        <v/>
      </c>
      <c r="E272" s="29" t="str">
        <f ca="1">IFERROR(__xludf.DUMMYFUNCTION("""COMPUTED_VALUE"""),"")</f>
        <v/>
      </c>
      <c r="F272" s="30" t="str">
        <f ca="1">IFERROR(__xludf.DUMMYFUNCTION("""COMPUTED_VALUE"""),"")</f>
        <v/>
      </c>
      <c r="G272" s="29" t="str">
        <f ca="1">IFERROR(__xludf.DUMMYFUNCTION("""COMPUTED_VALUE"""),"")</f>
        <v/>
      </c>
      <c r="H272" s="30" t="str">
        <f ca="1">IFERROR(__xludf.DUMMYFUNCTION("""COMPUTED_VALUE"""),"")</f>
        <v/>
      </c>
      <c r="I272" s="29" t="str">
        <f ca="1">IFERROR(__xludf.DUMMYFUNCTION("""COMPUTED_VALUE"""),"")</f>
        <v/>
      </c>
      <c r="J272" s="29" t="str">
        <f ca="1">IFERROR(__xludf.DUMMYFUNCTION("""COMPUTED_VALUE"""),"")</f>
        <v/>
      </c>
      <c r="K272" s="29" t="str">
        <f ca="1">IFERROR(__xludf.DUMMYFUNCTION("""COMPUTED_VALUE"""),"")</f>
        <v/>
      </c>
      <c r="L272" s="29" t="str">
        <f ca="1">IFERROR(__xludf.DUMMYFUNCTION("""COMPUTED_VALUE"""),"")</f>
        <v/>
      </c>
      <c r="M272" s="29" t="str">
        <f ca="1">IFERROR(__xludf.DUMMYFUNCTION("""COMPUTED_VALUE"""),"")</f>
        <v/>
      </c>
      <c r="N272" s="29" t="str">
        <f ca="1">IFERROR(__xludf.DUMMYFUNCTION("""COMPUTED_VALUE"""),"")</f>
        <v/>
      </c>
    </row>
    <row r="273" spans="2:14" ht="12.5">
      <c r="B273" s="2"/>
      <c r="C273" s="2" t="str">
        <f ca="1">IFERROR(__xludf.DUMMYFUNCTION("""COMPUTED_VALUE"""),"")</f>
        <v/>
      </c>
      <c r="D273" s="2" t="str">
        <f ca="1">IFERROR(__xludf.DUMMYFUNCTION("""COMPUTED_VALUE"""),"")</f>
        <v/>
      </c>
      <c r="E273" s="29" t="str">
        <f ca="1">IFERROR(__xludf.DUMMYFUNCTION("""COMPUTED_VALUE"""),"")</f>
        <v/>
      </c>
      <c r="F273" s="30" t="str">
        <f ca="1">IFERROR(__xludf.DUMMYFUNCTION("""COMPUTED_VALUE"""),"")</f>
        <v/>
      </c>
      <c r="G273" s="29" t="str">
        <f ca="1">IFERROR(__xludf.DUMMYFUNCTION("""COMPUTED_VALUE"""),"")</f>
        <v/>
      </c>
      <c r="H273" s="30" t="str">
        <f ca="1">IFERROR(__xludf.DUMMYFUNCTION("""COMPUTED_VALUE"""),"")</f>
        <v/>
      </c>
      <c r="I273" s="29" t="str">
        <f ca="1">IFERROR(__xludf.DUMMYFUNCTION("""COMPUTED_VALUE"""),"")</f>
        <v/>
      </c>
      <c r="J273" s="29" t="str">
        <f ca="1">IFERROR(__xludf.DUMMYFUNCTION("""COMPUTED_VALUE"""),"")</f>
        <v/>
      </c>
      <c r="K273" s="29" t="str">
        <f ca="1">IFERROR(__xludf.DUMMYFUNCTION("""COMPUTED_VALUE"""),"")</f>
        <v/>
      </c>
      <c r="L273" s="29" t="str">
        <f ca="1">IFERROR(__xludf.DUMMYFUNCTION("""COMPUTED_VALUE"""),"")</f>
        <v/>
      </c>
      <c r="M273" s="29" t="str">
        <f ca="1">IFERROR(__xludf.DUMMYFUNCTION("""COMPUTED_VALUE"""),"")</f>
        <v/>
      </c>
      <c r="N273" s="29" t="str">
        <f ca="1">IFERROR(__xludf.DUMMYFUNCTION("""COMPUTED_VALUE"""),"")</f>
        <v/>
      </c>
    </row>
    <row r="274" spans="2:14" ht="12.5">
      <c r="B274" s="2"/>
      <c r="C274" s="2" t="str">
        <f ca="1">IFERROR(__xludf.DUMMYFUNCTION("""COMPUTED_VALUE"""),"")</f>
        <v/>
      </c>
      <c r="D274" s="2" t="str">
        <f ca="1">IFERROR(__xludf.DUMMYFUNCTION("""COMPUTED_VALUE"""),"")</f>
        <v/>
      </c>
      <c r="E274" s="29" t="str">
        <f ca="1">IFERROR(__xludf.DUMMYFUNCTION("""COMPUTED_VALUE"""),"")</f>
        <v/>
      </c>
      <c r="F274" s="30" t="str">
        <f ca="1">IFERROR(__xludf.DUMMYFUNCTION("""COMPUTED_VALUE"""),"")</f>
        <v/>
      </c>
      <c r="G274" s="29" t="str">
        <f ca="1">IFERROR(__xludf.DUMMYFUNCTION("""COMPUTED_VALUE"""),"")</f>
        <v/>
      </c>
      <c r="H274" s="30" t="str">
        <f ca="1">IFERROR(__xludf.DUMMYFUNCTION("""COMPUTED_VALUE"""),"")</f>
        <v/>
      </c>
      <c r="I274" s="29" t="str">
        <f ca="1">IFERROR(__xludf.DUMMYFUNCTION("""COMPUTED_VALUE"""),"")</f>
        <v/>
      </c>
      <c r="J274" s="29" t="str">
        <f ca="1">IFERROR(__xludf.DUMMYFUNCTION("""COMPUTED_VALUE"""),"")</f>
        <v/>
      </c>
      <c r="K274" s="29" t="str">
        <f ca="1">IFERROR(__xludf.DUMMYFUNCTION("""COMPUTED_VALUE"""),"")</f>
        <v/>
      </c>
      <c r="L274" s="29" t="str">
        <f ca="1">IFERROR(__xludf.DUMMYFUNCTION("""COMPUTED_VALUE"""),"")</f>
        <v/>
      </c>
      <c r="M274" s="29" t="str">
        <f ca="1">IFERROR(__xludf.DUMMYFUNCTION("""COMPUTED_VALUE"""),"")</f>
        <v/>
      </c>
      <c r="N274" s="29" t="str">
        <f ca="1">IFERROR(__xludf.DUMMYFUNCTION("""COMPUTED_VALUE"""),"")</f>
        <v/>
      </c>
    </row>
    <row r="275" spans="2:14" ht="12.5">
      <c r="B275" s="2"/>
      <c r="C275" s="2" t="str">
        <f ca="1">IFERROR(__xludf.DUMMYFUNCTION("""COMPUTED_VALUE"""),"")</f>
        <v/>
      </c>
      <c r="D275" s="2" t="str">
        <f ca="1">IFERROR(__xludf.DUMMYFUNCTION("""COMPUTED_VALUE"""),"")</f>
        <v/>
      </c>
      <c r="E275" s="29" t="str">
        <f ca="1">IFERROR(__xludf.DUMMYFUNCTION("""COMPUTED_VALUE"""),"")</f>
        <v/>
      </c>
      <c r="F275" s="30" t="str">
        <f ca="1">IFERROR(__xludf.DUMMYFUNCTION("""COMPUTED_VALUE"""),"")</f>
        <v/>
      </c>
      <c r="G275" s="29" t="str">
        <f ca="1">IFERROR(__xludf.DUMMYFUNCTION("""COMPUTED_VALUE"""),"")</f>
        <v/>
      </c>
      <c r="H275" s="30" t="str">
        <f ca="1">IFERROR(__xludf.DUMMYFUNCTION("""COMPUTED_VALUE"""),"")</f>
        <v/>
      </c>
      <c r="I275" s="29" t="str">
        <f ca="1">IFERROR(__xludf.DUMMYFUNCTION("""COMPUTED_VALUE"""),"")</f>
        <v/>
      </c>
      <c r="J275" s="29" t="str">
        <f ca="1">IFERROR(__xludf.DUMMYFUNCTION("""COMPUTED_VALUE"""),"")</f>
        <v/>
      </c>
      <c r="K275" s="29" t="str">
        <f ca="1">IFERROR(__xludf.DUMMYFUNCTION("""COMPUTED_VALUE"""),"")</f>
        <v/>
      </c>
      <c r="L275" s="29" t="str">
        <f ca="1">IFERROR(__xludf.DUMMYFUNCTION("""COMPUTED_VALUE"""),"")</f>
        <v/>
      </c>
      <c r="M275" s="29" t="str">
        <f ca="1">IFERROR(__xludf.DUMMYFUNCTION("""COMPUTED_VALUE"""),"")</f>
        <v/>
      </c>
      <c r="N275" s="29" t="str">
        <f ca="1">IFERROR(__xludf.DUMMYFUNCTION("""COMPUTED_VALUE"""),"")</f>
        <v/>
      </c>
    </row>
    <row r="276" spans="2:14" ht="12.5">
      <c r="B276" s="2"/>
      <c r="C276" s="2" t="str">
        <f ca="1">IFERROR(__xludf.DUMMYFUNCTION("""COMPUTED_VALUE"""),"")</f>
        <v/>
      </c>
      <c r="D276" s="2" t="str">
        <f ca="1">IFERROR(__xludf.DUMMYFUNCTION("""COMPUTED_VALUE"""),"")</f>
        <v/>
      </c>
      <c r="E276" s="29" t="str">
        <f ca="1">IFERROR(__xludf.DUMMYFUNCTION("""COMPUTED_VALUE"""),"")</f>
        <v/>
      </c>
      <c r="F276" s="30" t="str">
        <f ca="1">IFERROR(__xludf.DUMMYFUNCTION("""COMPUTED_VALUE"""),"")</f>
        <v/>
      </c>
      <c r="G276" s="29" t="str">
        <f ca="1">IFERROR(__xludf.DUMMYFUNCTION("""COMPUTED_VALUE"""),"")</f>
        <v/>
      </c>
      <c r="H276" s="30" t="str">
        <f ca="1">IFERROR(__xludf.DUMMYFUNCTION("""COMPUTED_VALUE"""),"")</f>
        <v/>
      </c>
      <c r="I276" s="29" t="str">
        <f ca="1">IFERROR(__xludf.DUMMYFUNCTION("""COMPUTED_VALUE"""),"")</f>
        <v/>
      </c>
      <c r="J276" s="29" t="str">
        <f ca="1">IFERROR(__xludf.DUMMYFUNCTION("""COMPUTED_VALUE"""),"")</f>
        <v/>
      </c>
      <c r="K276" s="29" t="str">
        <f ca="1">IFERROR(__xludf.DUMMYFUNCTION("""COMPUTED_VALUE"""),"")</f>
        <v/>
      </c>
      <c r="L276" s="29" t="str">
        <f ca="1">IFERROR(__xludf.DUMMYFUNCTION("""COMPUTED_VALUE"""),"")</f>
        <v/>
      </c>
      <c r="M276" s="29" t="str">
        <f ca="1">IFERROR(__xludf.DUMMYFUNCTION("""COMPUTED_VALUE"""),"")</f>
        <v/>
      </c>
      <c r="N276" s="29" t="str">
        <f ca="1">IFERROR(__xludf.DUMMYFUNCTION("""COMPUTED_VALUE"""),"")</f>
        <v/>
      </c>
    </row>
    <row r="277" spans="2:14" ht="12.5">
      <c r="B277" s="2"/>
      <c r="C277" s="2" t="str">
        <f ca="1">IFERROR(__xludf.DUMMYFUNCTION("""COMPUTED_VALUE"""),"")</f>
        <v/>
      </c>
      <c r="D277" s="2" t="str">
        <f ca="1">IFERROR(__xludf.DUMMYFUNCTION("""COMPUTED_VALUE"""),"")</f>
        <v/>
      </c>
      <c r="E277" s="29" t="str">
        <f ca="1">IFERROR(__xludf.DUMMYFUNCTION("""COMPUTED_VALUE"""),"")</f>
        <v/>
      </c>
      <c r="F277" s="30" t="str">
        <f ca="1">IFERROR(__xludf.DUMMYFUNCTION("""COMPUTED_VALUE"""),"")</f>
        <v/>
      </c>
      <c r="G277" s="29" t="str">
        <f ca="1">IFERROR(__xludf.DUMMYFUNCTION("""COMPUTED_VALUE"""),"")</f>
        <v/>
      </c>
      <c r="H277" s="30" t="str">
        <f ca="1">IFERROR(__xludf.DUMMYFUNCTION("""COMPUTED_VALUE"""),"")</f>
        <v/>
      </c>
      <c r="I277" s="29" t="str">
        <f ca="1">IFERROR(__xludf.DUMMYFUNCTION("""COMPUTED_VALUE"""),"")</f>
        <v/>
      </c>
      <c r="J277" s="29" t="str">
        <f ca="1">IFERROR(__xludf.DUMMYFUNCTION("""COMPUTED_VALUE"""),"")</f>
        <v/>
      </c>
      <c r="K277" s="29" t="str">
        <f ca="1">IFERROR(__xludf.DUMMYFUNCTION("""COMPUTED_VALUE"""),"")</f>
        <v/>
      </c>
      <c r="L277" s="29" t="str">
        <f ca="1">IFERROR(__xludf.DUMMYFUNCTION("""COMPUTED_VALUE"""),"")</f>
        <v/>
      </c>
      <c r="M277" s="29" t="str">
        <f ca="1">IFERROR(__xludf.DUMMYFUNCTION("""COMPUTED_VALUE"""),"")</f>
        <v/>
      </c>
      <c r="N277" s="29" t="str">
        <f ca="1">IFERROR(__xludf.DUMMYFUNCTION("""COMPUTED_VALUE"""),"")</f>
        <v/>
      </c>
    </row>
    <row r="278" spans="2:14" ht="12.5">
      <c r="B278" s="2"/>
      <c r="C278" s="2" t="str">
        <f ca="1">IFERROR(__xludf.DUMMYFUNCTION("""COMPUTED_VALUE"""),"")</f>
        <v/>
      </c>
      <c r="D278" s="2" t="str">
        <f ca="1">IFERROR(__xludf.DUMMYFUNCTION("""COMPUTED_VALUE"""),"")</f>
        <v/>
      </c>
      <c r="E278" s="29" t="str">
        <f ca="1">IFERROR(__xludf.DUMMYFUNCTION("""COMPUTED_VALUE"""),"")</f>
        <v/>
      </c>
      <c r="F278" s="30" t="str">
        <f ca="1">IFERROR(__xludf.DUMMYFUNCTION("""COMPUTED_VALUE"""),"")</f>
        <v/>
      </c>
      <c r="G278" s="29" t="str">
        <f ca="1">IFERROR(__xludf.DUMMYFUNCTION("""COMPUTED_VALUE"""),"")</f>
        <v/>
      </c>
      <c r="H278" s="30" t="str">
        <f ca="1">IFERROR(__xludf.DUMMYFUNCTION("""COMPUTED_VALUE"""),"")</f>
        <v/>
      </c>
      <c r="I278" s="29" t="str">
        <f ca="1">IFERROR(__xludf.DUMMYFUNCTION("""COMPUTED_VALUE"""),"")</f>
        <v/>
      </c>
      <c r="J278" s="29" t="str">
        <f ca="1">IFERROR(__xludf.DUMMYFUNCTION("""COMPUTED_VALUE"""),"")</f>
        <v/>
      </c>
      <c r="K278" s="29" t="str">
        <f ca="1">IFERROR(__xludf.DUMMYFUNCTION("""COMPUTED_VALUE"""),"")</f>
        <v/>
      </c>
      <c r="L278" s="29" t="str">
        <f ca="1">IFERROR(__xludf.DUMMYFUNCTION("""COMPUTED_VALUE"""),"")</f>
        <v/>
      </c>
      <c r="M278" s="29" t="str">
        <f ca="1">IFERROR(__xludf.DUMMYFUNCTION("""COMPUTED_VALUE"""),"")</f>
        <v/>
      </c>
      <c r="N278" s="29" t="str">
        <f ca="1">IFERROR(__xludf.DUMMYFUNCTION("""COMPUTED_VALUE"""),"")</f>
        <v/>
      </c>
    </row>
    <row r="279" spans="2:14" ht="12.5">
      <c r="B279" s="2"/>
      <c r="C279" s="2" t="str">
        <f ca="1">IFERROR(__xludf.DUMMYFUNCTION("""COMPUTED_VALUE"""),"")</f>
        <v/>
      </c>
      <c r="D279" s="2" t="str">
        <f ca="1">IFERROR(__xludf.DUMMYFUNCTION("""COMPUTED_VALUE"""),"")</f>
        <v/>
      </c>
      <c r="E279" s="29" t="str">
        <f ca="1">IFERROR(__xludf.DUMMYFUNCTION("""COMPUTED_VALUE"""),"")</f>
        <v/>
      </c>
      <c r="F279" s="30" t="str">
        <f ca="1">IFERROR(__xludf.DUMMYFUNCTION("""COMPUTED_VALUE"""),"")</f>
        <v/>
      </c>
      <c r="G279" s="29" t="str">
        <f ca="1">IFERROR(__xludf.DUMMYFUNCTION("""COMPUTED_VALUE"""),"")</f>
        <v/>
      </c>
      <c r="H279" s="30" t="str">
        <f ca="1">IFERROR(__xludf.DUMMYFUNCTION("""COMPUTED_VALUE"""),"")</f>
        <v/>
      </c>
      <c r="I279" s="29" t="str">
        <f ca="1">IFERROR(__xludf.DUMMYFUNCTION("""COMPUTED_VALUE"""),"")</f>
        <v/>
      </c>
      <c r="J279" s="29" t="str">
        <f ca="1">IFERROR(__xludf.DUMMYFUNCTION("""COMPUTED_VALUE"""),"")</f>
        <v/>
      </c>
      <c r="K279" s="29" t="str">
        <f ca="1">IFERROR(__xludf.DUMMYFUNCTION("""COMPUTED_VALUE"""),"")</f>
        <v/>
      </c>
      <c r="L279" s="29" t="str">
        <f ca="1">IFERROR(__xludf.DUMMYFUNCTION("""COMPUTED_VALUE"""),"")</f>
        <v/>
      </c>
      <c r="M279" s="29" t="str">
        <f ca="1">IFERROR(__xludf.DUMMYFUNCTION("""COMPUTED_VALUE"""),"")</f>
        <v/>
      </c>
      <c r="N279" s="29" t="str">
        <f ca="1">IFERROR(__xludf.DUMMYFUNCTION("""COMPUTED_VALUE"""),"")</f>
        <v/>
      </c>
    </row>
    <row r="280" spans="2:14" ht="12.5">
      <c r="B280" s="2"/>
      <c r="C280" s="2" t="str">
        <f ca="1">IFERROR(__xludf.DUMMYFUNCTION("""COMPUTED_VALUE"""),"")</f>
        <v/>
      </c>
      <c r="D280" s="2" t="str">
        <f ca="1">IFERROR(__xludf.DUMMYFUNCTION("""COMPUTED_VALUE"""),"")</f>
        <v/>
      </c>
      <c r="E280" s="29" t="str">
        <f ca="1">IFERROR(__xludf.DUMMYFUNCTION("""COMPUTED_VALUE"""),"")</f>
        <v/>
      </c>
      <c r="F280" s="30" t="str">
        <f ca="1">IFERROR(__xludf.DUMMYFUNCTION("""COMPUTED_VALUE"""),"")</f>
        <v/>
      </c>
      <c r="G280" s="29" t="str">
        <f ca="1">IFERROR(__xludf.DUMMYFUNCTION("""COMPUTED_VALUE"""),"")</f>
        <v/>
      </c>
      <c r="H280" s="30" t="str">
        <f ca="1">IFERROR(__xludf.DUMMYFUNCTION("""COMPUTED_VALUE"""),"")</f>
        <v/>
      </c>
      <c r="I280" s="29" t="str">
        <f ca="1">IFERROR(__xludf.DUMMYFUNCTION("""COMPUTED_VALUE"""),"")</f>
        <v/>
      </c>
      <c r="J280" s="29" t="str">
        <f ca="1">IFERROR(__xludf.DUMMYFUNCTION("""COMPUTED_VALUE"""),"")</f>
        <v/>
      </c>
      <c r="K280" s="29" t="str">
        <f ca="1">IFERROR(__xludf.DUMMYFUNCTION("""COMPUTED_VALUE"""),"")</f>
        <v/>
      </c>
      <c r="L280" s="29" t="str">
        <f ca="1">IFERROR(__xludf.DUMMYFUNCTION("""COMPUTED_VALUE"""),"")</f>
        <v/>
      </c>
      <c r="M280" s="29" t="str">
        <f ca="1">IFERROR(__xludf.DUMMYFUNCTION("""COMPUTED_VALUE"""),"")</f>
        <v/>
      </c>
      <c r="N280" s="29" t="str">
        <f ca="1">IFERROR(__xludf.DUMMYFUNCTION("""COMPUTED_VALUE"""),"")</f>
        <v/>
      </c>
    </row>
    <row r="281" spans="2:14" ht="12.5">
      <c r="B281" s="2"/>
      <c r="C281" s="2" t="str">
        <f ca="1">IFERROR(__xludf.DUMMYFUNCTION("""COMPUTED_VALUE"""),"")</f>
        <v/>
      </c>
      <c r="D281" s="2" t="str">
        <f ca="1">IFERROR(__xludf.DUMMYFUNCTION("""COMPUTED_VALUE"""),"")</f>
        <v/>
      </c>
      <c r="E281" s="29" t="str">
        <f ca="1">IFERROR(__xludf.DUMMYFUNCTION("""COMPUTED_VALUE"""),"")</f>
        <v/>
      </c>
      <c r="F281" s="30" t="str">
        <f ca="1">IFERROR(__xludf.DUMMYFUNCTION("""COMPUTED_VALUE"""),"")</f>
        <v/>
      </c>
      <c r="G281" s="29" t="str">
        <f ca="1">IFERROR(__xludf.DUMMYFUNCTION("""COMPUTED_VALUE"""),"")</f>
        <v/>
      </c>
      <c r="H281" s="30" t="str">
        <f ca="1">IFERROR(__xludf.DUMMYFUNCTION("""COMPUTED_VALUE"""),"")</f>
        <v/>
      </c>
      <c r="I281" s="29" t="str">
        <f ca="1">IFERROR(__xludf.DUMMYFUNCTION("""COMPUTED_VALUE"""),"")</f>
        <v/>
      </c>
      <c r="J281" s="29" t="str">
        <f ca="1">IFERROR(__xludf.DUMMYFUNCTION("""COMPUTED_VALUE"""),"")</f>
        <v/>
      </c>
      <c r="K281" s="29" t="str">
        <f ca="1">IFERROR(__xludf.DUMMYFUNCTION("""COMPUTED_VALUE"""),"")</f>
        <v/>
      </c>
      <c r="L281" s="29" t="str">
        <f ca="1">IFERROR(__xludf.DUMMYFUNCTION("""COMPUTED_VALUE"""),"")</f>
        <v/>
      </c>
      <c r="M281" s="29" t="str">
        <f ca="1">IFERROR(__xludf.DUMMYFUNCTION("""COMPUTED_VALUE"""),"")</f>
        <v/>
      </c>
      <c r="N281" s="29" t="str">
        <f ca="1">IFERROR(__xludf.DUMMYFUNCTION("""COMPUTED_VALUE"""),"")</f>
        <v/>
      </c>
    </row>
    <row r="282" spans="2:14" ht="12.5">
      <c r="B282" s="2"/>
      <c r="C282" s="2" t="str">
        <f ca="1">IFERROR(__xludf.DUMMYFUNCTION("""COMPUTED_VALUE"""),"")</f>
        <v/>
      </c>
      <c r="D282" s="2" t="str">
        <f ca="1">IFERROR(__xludf.DUMMYFUNCTION("""COMPUTED_VALUE"""),"")</f>
        <v/>
      </c>
      <c r="E282" s="29" t="str">
        <f ca="1">IFERROR(__xludf.DUMMYFUNCTION("""COMPUTED_VALUE"""),"")</f>
        <v/>
      </c>
      <c r="F282" s="30" t="str">
        <f ca="1">IFERROR(__xludf.DUMMYFUNCTION("""COMPUTED_VALUE"""),"")</f>
        <v/>
      </c>
      <c r="G282" s="29" t="str">
        <f ca="1">IFERROR(__xludf.DUMMYFUNCTION("""COMPUTED_VALUE"""),"")</f>
        <v/>
      </c>
      <c r="H282" s="30" t="str">
        <f ca="1">IFERROR(__xludf.DUMMYFUNCTION("""COMPUTED_VALUE"""),"")</f>
        <v/>
      </c>
      <c r="I282" s="29" t="str">
        <f ca="1">IFERROR(__xludf.DUMMYFUNCTION("""COMPUTED_VALUE"""),"")</f>
        <v/>
      </c>
      <c r="J282" s="29" t="str">
        <f ca="1">IFERROR(__xludf.DUMMYFUNCTION("""COMPUTED_VALUE"""),"")</f>
        <v/>
      </c>
      <c r="K282" s="29" t="str">
        <f ca="1">IFERROR(__xludf.DUMMYFUNCTION("""COMPUTED_VALUE"""),"")</f>
        <v/>
      </c>
      <c r="L282" s="29" t="str">
        <f ca="1">IFERROR(__xludf.DUMMYFUNCTION("""COMPUTED_VALUE"""),"")</f>
        <v/>
      </c>
      <c r="M282" s="29" t="str">
        <f ca="1">IFERROR(__xludf.DUMMYFUNCTION("""COMPUTED_VALUE"""),"")</f>
        <v/>
      </c>
      <c r="N282" s="29" t="str">
        <f ca="1">IFERROR(__xludf.DUMMYFUNCTION("""COMPUTED_VALUE"""),"")</f>
        <v/>
      </c>
    </row>
    <row r="283" spans="2:14" ht="12.5">
      <c r="B283" s="2"/>
      <c r="C283" s="2" t="str">
        <f ca="1">IFERROR(__xludf.DUMMYFUNCTION("""COMPUTED_VALUE"""),"")</f>
        <v/>
      </c>
      <c r="D283" s="2" t="str">
        <f ca="1">IFERROR(__xludf.DUMMYFUNCTION("""COMPUTED_VALUE"""),"")</f>
        <v/>
      </c>
      <c r="E283" s="29" t="str">
        <f ca="1">IFERROR(__xludf.DUMMYFUNCTION("""COMPUTED_VALUE"""),"")</f>
        <v/>
      </c>
      <c r="F283" s="30" t="str">
        <f ca="1">IFERROR(__xludf.DUMMYFUNCTION("""COMPUTED_VALUE"""),"")</f>
        <v/>
      </c>
      <c r="G283" s="29" t="str">
        <f ca="1">IFERROR(__xludf.DUMMYFUNCTION("""COMPUTED_VALUE"""),"")</f>
        <v/>
      </c>
      <c r="H283" s="30" t="str">
        <f ca="1">IFERROR(__xludf.DUMMYFUNCTION("""COMPUTED_VALUE"""),"")</f>
        <v/>
      </c>
      <c r="I283" s="29" t="str">
        <f ca="1">IFERROR(__xludf.DUMMYFUNCTION("""COMPUTED_VALUE"""),"")</f>
        <v/>
      </c>
      <c r="J283" s="29" t="str">
        <f ca="1">IFERROR(__xludf.DUMMYFUNCTION("""COMPUTED_VALUE"""),"")</f>
        <v/>
      </c>
      <c r="K283" s="29" t="str">
        <f ca="1">IFERROR(__xludf.DUMMYFUNCTION("""COMPUTED_VALUE"""),"")</f>
        <v/>
      </c>
      <c r="L283" s="29" t="str">
        <f ca="1">IFERROR(__xludf.DUMMYFUNCTION("""COMPUTED_VALUE"""),"")</f>
        <v/>
      </c>
      <c r="M283" s="29" t="str">
        <f ca="1">IFERROR(__xludf.DUMMYFUNCTION("""COMPUTED_VALUE"""),"")</f>
        <v/>
      </c>
      <c r="N283" s="29" t="str">
        <f ca="1">IFERROR(__xludf.DUMMYFUNCTION("""COMPUTED_VALUE"""),"")</f>
        <v/>
      </c>
    </row>
    <row r="284" spans="2:14" ht="12.5">
      <c r="B284" s="2"/>
      <c r="C284" s="2" t="str">
        <f ca="1">IFERROR(__xludf.DUMMYFUNCTION("""COMPUTED_VALUE"""),"")</f>
        <v/>
      </c>
      <c r="D284" s="2" t="str">
        <f ca="1">IFERROR(__xludf.DUMMYFUNCTION("""COMPUTED_VALUE"""),"")</f>
        <v/>
      </c>
      <c r="E284" s="29" t="str">
        <f ca="1">IFERROR(__xludf.DUMMYFUNCTION("""COMPUTED_VALUE"""),"")</f>
        <v/>
      </c>
      <c r="F284" s="30" t="str">
        <f ca="1">IFERROR(__xludf.DUMMYFUNCTION("""COMPUTED_VALUE"""),"")</f>
        <v/>
      </c>
      <c r="G284" s="29" t="str">
        <f ca="1">IFERROR(__xludf.DUMMYFUNCTION("""COMPUTED_VALUE"""),"")</f>
        <v/>
      </c>
      <c r="H284" s="30" t="str">
        <f ca="1">IFERROR(__xludf.DUMMYFUNCTION("""COMPUTED_VALUE"""),"")</f>
        <v/>
      </c>
      <c r="I284" s="29" t="str">
        <f ca="1">IFERROR(__xludf.DUMMYFUNCTION("""COMPUTED_VALUE"""),"")</f>
        <v/>
      </c>
      <c r="J284" s="29" t="str">
        <f ca="1">IFERROR(__xludf.DUMMYFUNCTION("""COMPUTED_VALUE"""),"")</f>
        <v/>
      </c>
      <c r="K284" s="29" t="str">
        <f ca="1">IFERROR(__xludf.DUMMYFUNCTION("""COMPUTED_VALUE"""),"")</f>
        <v/>
      </c>
      <c r="L284" s="29" t="str">
        <f ca="1">IFERROR(__xludf.DUMMYFUNCTION("""COMPUTED_VALUE"""),"")</f>
        <v/>
      </c>
      <c r="M284" s="29" t="str">
        <f ca="1">IFERROR(__xludf.DUMMYFUNCTION("""COMPUTED_VALUE"""),"")</f>
        <v/>
      </c>
      <c r="N284" s="29" t="str">
        <f ca="1">IFERROR(__xludf.DUMMYFUNCTION("""COMPUTED_VALUE"""),"")</f>
        <v/>
      </c>
    </row>
    <row r="285" spans="2:14" ht="12.5">
      <c r="B285" s="2"/>
      <c r="C285" s="2" t="str">
        <f ca="1">IFERROR(__xludf.DUMMYFUNCTION("""COMPUTED_VALUE"""),"")</f>
        <v/>
      </c>
      <c r="D285" s="2" t="str">
        <f ca="1">IFERROR(__xludf.DUMMYFUNCTION("""COMPUTED_VALUE"""),"")</f>
        <v/>
      </c>
      <c r="E285" s="29" t="str">
        <f ca="1">IFERROR(__xludf.DUMMYFUNCTION("""COMPUTED_VALUE"""),"")</f>
        <v/>
      </c>
      <c r="F285" s="30" t="str">
        <f ca="1">IFERROR(__xludf.DUMMYFUNCTION("""COMPUTED_VALUE"""),"")</f>
        <v/>
      </c>
      <c r="G285" s="29" t="str">
        <f ca="1">IFERROR(__xludf.DUMMYFUNCTION("""COMPUTED_VALUE"""),"")</f>
        <v/>
      </c>
      <c r="H285" s="30" t="str">
        <f ca="1">IFERROR(__xludf.DUMMYFUNCTION("""COMPUTED_VALUE"""),"")</f>
        <v/>
      </c>
      <c r="I285" s="29" t="str">
        <f ca="1">IFERROR(__xludf.DUMMYFUNCTION("""COMPUTED_VALUE"""),"")</f>
        <v/>
      </c>
      <c r="J285" s="29" t="str">
        <f ca="1">IFERROR(__xludf.DUMMYFUNCTION("""COMPUTED_VALUE"""),"")</f>
        <v/>
      </c>
      <c r="K285" s="29" t="str">
        <f ca="1">IFERROR(__xludf.DUMMYFUNCTION("""COMPUTED_VALUE"""),"")</f>
        <v/>
      </c>
      <c r="L285" s="29" t="str">
        <f ca="1">IFERROR(__xludf.DUMMYFUNCTION("""COMPUTED_VALUE"""),"")</f>
        <v/>
      </c>
      <c r="M285" s="29" t="str">
        <f ca="1">IFERROR(__xludf.DUMMYFUNCTION("""COMPUTED_VALUE"""),"")</f>
        <v/>
      </c>
      <c r="N285" s="29" t="str">
        <f ca="1">IFERROR(__xludf.DUMMYFUNCTION("""COMPUTED_VALUE"""),"")</f>
        <v/>
      </c>
    </row>
    <row r="286" spans="2:14" ht="12.5">
      <c r="B286" s="2"/>
      <c r="C286" s="2" t="str">
        <f ca="1">IFERROR(__xludf.DUMMYFUNCTION("""COMPUTED_VALUE"""),"")</f>
        <v/>
      </c>
      <c r="D286" s="2" t="str">
        <f ca="1">IFERROR(__xludf.DUMMYFUNCTION("""COMPUTED_VALUE"""),"")</f>
        <v/>
      </c>
      <c r="E286" s="29" t="str">
        <f ca="1">IFERROR(__xludf.DUMMYFUNCTION("""COMPUTED_VALUE"""),"")</f>
        <v/>
      </c>
      <c r="F286" s="30" t="str">
        <f ca="1">IFERROR(__xludf.DUMMYFUNCTION("""COMPUTED_VALUE"""),"")</f>
        <v/>
      </c>
      <c r="G286" s="29" t="str">
        <f ca="1">IFERROR(__xludf.DUMMYFUNCTION("""COMPUTED_VALUE"""),"")</f>
        <v/>
      </c>
      <c r="H286" s="30" t="str">
        <f ca="1">IFERROR(__xludf.DUMMYFUNCTION("""COMPUTED_VALUE"""),"")</f>
        <v/>
      </c>
      <c r="I286" s="29" t="str">
        <f ca="1">IFERROR(__xludf.DUMMYFUNCTION("""COMPUTED_VALUE"""),"")</f>
        <v/>
      </c>
      <c r="J286" s="29" t="str">
        <f ca="1">IFERROR(__xludf.DUMMYFUNCTION("""COMPUTED_VALUE"""),"")</f>
        <v/>
      </c>
      <c r="K286" s="29" t="str">
        <f ca="1">IFERROR(__xludf.DUMMYFUNCTION("""COMPUTED_VALUE"""),"")</f>
        <v/>
      </c>
      <c r="L286" s="29" t="str">
        <f ca="1">IFERROR(__xludf.DUMMYFUNCTION("""COMPUTED_VALUE"""),"")</f>
        <v/>
      </c>
      <c r="M286" s="29" t="str">
        <f ca="1">IFERROR(__xludf.DUMMYFUNCTION("""COMPUTED_VALUE"""),"")</f>
        <v/>
      </c>
      <c r="N286" s="29" t="str">
        <f ca="1">IFERROR(__xludf.DUMMYFUNCTION("""COMPUTED_VALUE"""),"")</f>
        <v/>
      </c>
    </row>
    <row r="287" spans="2:14" ht="12.5">
      <c r="B287" s="2"/>
      <c r="C287" s="2" t="str">
        <f ca="1">IFERROR(__xludf.DUMMYFUNCTION("""COMPUTED_VALUE"""),"")</f>
        <v/>
      </c>
      <c r="D287" s="2" t="str">
        <f ca="1">IFERROR(__xludf.DUMMYFUNCTION("""COMPUTED_VALUE"""),"")</f>
        <v/>
      </c>
      <c r="E287" s="29" t="str">
        <f ca="1">IFERROR(__xludf.DUMMYFUNCTION("""COMPUTED_VALUE"""),"")</f>
        <v/>
      </c>
      <c r="F287" s="30" t="str">
        <f ca="1">IFERROR(__xludf.DUMMYFUNCTION("""COMPUTED_VALUE"""),"")</f>
        <v/>
      </c>
      <c r="G287" s="29" t="str">
        <f ca="1">IFERROR(__xludf.DUMMYFUNCTION("""COMPUTED_VALUE"""),"")</f>
        <v/>
      </c>
      <c r="H287" s="30" t="str">
        <f ca="1">IFERROR(__xludf.DUMMYFUNCTION("""COMPUTED_VALUE"""),"")</f>
        <v/>
      </c>
      <c r="I287" s="29" t="str">
        <f ca="1">IFERROR(__xludf.DUMMYFUNCTION("""COMPUTED_VALUE"""),"")</f>
        <v/>
      </c>
      <c r="J287" s="29" t="str">
        <f ca="1">IFERROR(__xludf.DUMMYFUNCTION("""COMPUTED_VALUE"""),"")</f>
        <v/>
      </c>
      <c r="K287" s="29" t="str">
        <f ca="1">IFERROR(__xludf.DUMMYFUNCTION("""COMPUTED_VALUE"""),"")</f>
        <v/>
      </c>
      <c r="L287" s="29" t="str">
        <f ca="1">IFERROR(__xludf.DUMMYFUNCTION("""COMPUTED_VALUE"""),"")</f>
        <v/>
      </c>
      <c r="M287" s="29" t="str">
        <f ca="1">IFERROR(__xludf.DUMMYFUNCTION("""COMPUTED_VALUE"""),"")</f>
        <v/>
      </c>
      <c r="N287" s="29" t="str">
        <f ca="1">IFERROR(__xludf.DUMMYFUNCTION("""COMPUTED_VALUE"""),"")</f>
        <v/>
      </c>
    </row>
    <row r="288" spans="2:14" ht="12.5">
      <c r="B288" s="2"/>
      <c r="C288" s="2" t="str">
        <f ca="1">IFERROR(__xludf.DUMMYFUNCTION("""COMPUTED_VALUE"""),"")</f>
        <v/>
      </c>
      <c r="D288" s="2" t="str">
        <f ca="1">IFERROR(__xludf.DUMMYFUNCTION("""COMPUTED_VALUE"""),"")</f>
        <v/>
      </c>
      <c r="E288" s="29" t="str">
        <f ca="1">IFERROR(__xludf.DUMMYFUNCTION("""COMPUTED_VALUE"""),"")</f>
        <v/>
      </c>
      <c r="F288" s="30" t="str">
        <f ca="1">IFERROR(__xludf.DUMMYFUNCTION("""COMPUTED_VALUE"""),"")</f>
        <v/>
      </c>
      <c r="G288" s="29" t="str">
        <f ca="1">IFERROR(__xludf.DUMMYFUNCTION("""COMPUTED_VALUE"""),"")</f>
        <v/>
      </c>
      <c r="H288" s="30" t="str">
        <f ca="1">IFERROR(__xludf.DUMMYFUNCTION("""COMPUTED_VALUE"""),"")</f>
        <v/>
      </c>
      <c r="I288" s="29" t="str">
        <f ca="1">IFERROR(__xludf.DUMMYFUNCTION("""COMPUTED_VALUE"""),"")</f>
        <v/>
      </c>
      <c r="J288" s="29" t="str">
        <f ca="1">IFERROR(__xludf.DUMMYFUNCTION("""COMPUTED_VALUE"""),"")</f>
        <v/>
      </c>
      <c r="K288" s="29" t="str">
        <f ca="1">IFERROR(__xludf.DUMMYFUNCTION("""COMPUTED_VALUE"""),"")</f>
        <v/>
      </c>
      <c r="L288" s="29" t="str">
        <f ca="1">IFERROR(__xludf.DUMMYFUNCTION("""COMPUTED_VALUE"""),"")</f>
        <v/>
      </c>
      <c r="M288" s="29" t="str">
        <f ca="1">IFERROR(__xludf.DUMMYFUNCTION("""COMPUTED_VALUE"""),"")</f>
        <v/>
      </c>
      <c r="N288" s="29" t="str">
        <f ca="1">IFERROR(__xludf.DUMMYFUNCTION("""COMPUTED_VALUE"""),"")</f>
        <v/>
      </c>
    </row>
    <row r="289" spans="2:14" ht="12.5">
      <c r="B289" s="2"/>
      <c r="C289" s="2" t="str">
        <f ca="1">IFERROR(__xludf.DUMMYFUNCTION("""COMPUTED_VALUE"""),"")</f>
        <v/>
      </c>
      <c r="D289" s="2" t="str">
        <f ca="1">IFERROR(__xludf.DUMMYFUNCTION("""COMPUTED_VALUE"""),"")</f>
        <v/>
      </c>
      <c r="E289" s="29" t="str">
        <f ca="1">IFERROR(__xludf.DUMMYFUNCTION("""COMPUTED_VALUE"""),"")</f>
        <v/>
      </c>
      <c r="F289" s="30" t="str">
        <f ca="1">IFERROR(__xludf.DUMMYFUNCTION("""COMPUTED_VALUE"""),"")</f>
        <v/>
      </c>
      <c r="G289" s="29" t="str">
        <f ca="1">IFERROR(__xludf.DUMMYFUNCTION("""COMPUTED_VALUE"""),"")</f>
        <v/>
      </c>
      <c r="H289" s="30" t="str">
        <f ca="1">IFERROR(__xludf.DUMMYFUNCTION("""COMPUTED_VALUE"""),"")</f>
        <v/>
      </c>
      <c r="I289" s="29" t="str">
        <f ca="1">IFERROR(__xludf.DUMMYFUNCTION("""COMPUTED_VALUE"""),"")</f>
        <v/>
      </c>
      <c r="J289" s="29" t="str">
        <f ca="1">IFERROR(__xludf.DUMMYFUNCTION("""COMPUTED_VALUE"""),"")</f>
        <v/>
      </c>
      <c r="K289" s="29" t="str">
        <f ca="1">IFERROR(__xludf.DUMMYFUNCTION("""COMPUTED_VALUE"""),"")</f>
        <v/>
      </c>
      <c r="L289" s="29" t="str">
        <f ca="1">IFERROR(__xludf.DUMMYFUNCTION("""COMPUTED_VALUE"""),"")</f>
        <v/>
      </c>
      <c r="M289" s="29" t="str">
        <f ca="1">IFERROR(__xludf.DUMMYFUNCTION("""COMPUTED_VALUE"""),"")</f>
        <v/>
      </c>
      <c r="N289" s="29" t="str">
        <f ca="1">IFERROR(__xludf.DUMMYFUNCTION("""COMPUTED_VALUE"""),"")</f>
        <v/>
      </c>
    </row>
    <row r="290" spans="2:14" ht="12.5">
      <c r="B290" s="2"/>
      <c r="C290" s="2" t="str">
        <f ca="1">IFERROR(__xludf.DUMMYFUNCTION("""COMPUTED_VALUE"""),"")</f>
        <v/>
      </c>
      <c r="D290" s="2" t="str">
        <f ca="1">IFERROR(__xludf.DUMMYFUNCTION("""COMPUTED_VALUE"""),"")</f>
        <v/>
      </c>
      <c r="E290" s="29" t="str">
        <f ca="1">IFERROR(__xludf.DUMMYFUNCTION("""COMPUTED_VALUE"""),"")</f>
        <v/>
      </c>
      <c r="F290" s="30" t="str">
        <f ca="1">IFERROR(__xludf.DUMMYFUNCTION("""COMPUTED_VALUE"""),"")</f>
        <v/>
      </c>
      <c r="G290" s="29" t="str">
        <f ca="1">IFERROR(__xludf.DUMMYFUNCTION("""COMPUTED_VALUE"""),"")</f>
        <v/>
      </c>
      <c r="H290" s="30" t="str">
        <f ca="1">IFERROR(__xludf.DUMMYFUNCTION("""COMPUTED_VALUE"""),"")</f>
        <v/>
      </c>
      <c r="I290" s="29" t="str">
        <f ca="1">IFERROR(__xludf.DUMMYFUNCTION("""COMPUTED_VALUE"""),"")</f>
        <v/>
      </c>
      <c r="J290" s="29" t="str">
        <f ca="1">IFERROR(__xludf.DUMMYFUNCTION("""COMPUTED_VALUE"""),"")</f>
        <v/>
      </c>
      <c r="K290" s="29" t="str">
        <f ca="1">IFERROR(__xludf.DUMMYFUNCTION("""COMPUTED_VALUE"""),"")</f>
        <v/>
      </c>
      <c r="L290" s="29" t="str">
        <f ca="1">IFERROR(__xludf.DUMMYFUNCTION("""COMPUTED_VALUE"""),"")</f>
        <v/>
      </c>
      <c r="M290" s="29" t="str">
        <f ca="1">IFERROR(__xludf.DUMMYFUNCTION("""COMPUTED_VALUE"""),"")</f>
        <v/>
      </c>
      <c r="N290" s="29" t="str">
        <f ca="1">IFERROR(__xludf.DUMMYFUNCTION("""COMPUTED_VALUE"""),"")</f>
        <v/>
      </c>
    </row>
    <row r="291" spans="2:14" ht="12.5">
      <c r="B291" s="2"/>
      <c r="C291" s="2" t="str">
        <f ca="1">IFERROR(__xludf.DUMMYFUNCTION("""COMPUTED_VALUE"""),"")</f>
        <v/>
      </c>
      <c r="D291" s="2" t="str">
        <f ca="1">IFERROR(__xludf.DUMMYFUNCTION("""COMPUTED_VALUE"""),"")</f>
        <v/>
      </c>
      <c r="E291" s="29" t="str">
        <f ca="1">IFERROR(__xludf.DUMMYFUNCTION("""COMPUTED_VALUE"""),"")</f>
        <v/>
      </c>
      <c r="F291" s="30" t="str">
        <f ca="1">IFERROR(__xludf.DUMMYFUNCTION("""COMPUTED_VALUE"""),"")</f>
        <v/>
      </c>
      <c r="G291" s="29" t="str">
        <f ca="1">IFERROR(__xludf.DUMMYFUNCTION("""COMPUTED_VALUE"""),"")</f>
        <v/>
      </c>
      <c r="H291" s="30" t="str">
        <f ca="1">IFERROR(__xludf.DUMMYFUNCTION("""COMPUTED_VALUE"""),"")</f>
        <v/>
      </c>
      <c r="I291" s="29" t="str">
        <f ca="1">IFERROR(__xludf.DUMMYFUNCTION("""COMPUTED_VALUE"""),"")</f>
        <v/>
      </c>
      <c r="J291" s="29" t="str">
        <f ca="1">IFERROR(__xludf.DUMMYFUNCTION("""COMPUTED_VALUE"""),"")</f>
        <v/>
      </c>
      <c r="K291" s="29" t="str">
        <f ca="1">IFERROR(__xludf.DUMMYFUNCTION("""COMPUTED_VALUE"""),"")</f>
        <v/>
      </c>
      <c r="L291" s="29" t="str">
        <f ca="1">IFERROR(__xludf.DUMMYFUNCTION("""COMPUTED_VALUE"""),"")</f>
        <v/>
      </c>
      <c r="M291" s="29" t="str">
        <f ca="1">IFERROR(__xludf.DUMMYFUNCTION("""COMPUTED_VALUE"""),"")</f>
        <v/>
      </c>
      <c r="N291" s="29" t="str">
        <f ca="1">IFERROR(__xludf.DUMMYFUNCTION("""COMPUTED_VALUE"""),"")</f>
        <v/>
      </c>
    </row>
    <row r="292" spans="2:14" ht="12.5">
      <c r="B292" s="2"/>
      <c r="C292" s="2" t="str">
        <f ca="1">IFERROR(__xludf.DUMMYFUNCTION("""COMPUTED_VALUE"""),"")</f>
        <v/>
      </c>
      <c r="D292" s="2" t="str">
        <f ca="1">IFERROR(__xludf.DUMMYFUNCTION("""COMPUTED_VALUE"""),"")</f>
        <v/>
      </c>
      <c r="E292" s="29" t="str">
        <f ca="1">IFERROR(__xludf.DUMMYFUNCTION("""COMPUTED_VALUE"""),"")</f>
        <v/>
      </c>
      <c r="F292" s="30" t="str">
        <f ca="1">IFERROR(__xludf.DUMMYFUNCTION("""COMPUTED_VALUE"""),"")</f>
        <v/>
      </c>
      <c r="G292" s="29" t="str">
        <f ca="1">IFERROR(__xludf.DUMMYFUNCTION("""COMPUTED_VALUE"""),"")</f>
        <v/>
      </c>
      <c r="H292" s="30" t="str">
        <f ca="1">IFERROR(__xludf.DUMMYFUNCTION("""COMPUTED_VALUE"""),"")</f>
        <v/>
      </c>
      <c r="I292" s="29" t="str">
        <f ca="1">IFERROR(__xludf.DUMMYFUNCTION("""COMPUTED_VALUE"""),"")</f>
        <v/>
      </c>
      <c r="J292" s="29" t="str">
        <f ca="1">IFERROR(__xludf.DUMMYFUNCTION("""COMPUTED_VALUE"""),"")</f>
        <v/>
      </c>
      <c r="K292" s="29" t="str">
        <f ca="1">IFERROR(__xludf.DUMMYFUNCTION("""COMPUTED_VALUE"""),"")</f>
        <v/>
      </c>
      <c r="L292" s="29" t="str">
        <f ca="1">IFERROR(__xludf.DUMMYFUNCTION("""COMPUTED_VALUE"""),"")</f>
        <v/>
      </c>
      <c r="M292" s="29" t="str">
        <f ca="1">IFERROR(__xludf.DUMMYFUNCTION("""COMPUTED_VALUE"""),"")</f>
        <v/>
      </c>
      <c r="N292" s="29" t="str">
        <f ca="1">IFERROR(__xludf.DUMMYFUNCTION("""COMPUTED_VALUE"""),"")</f>
        <v/>
      </c>
    </row>
    <row r="293" spans="2:14" ht="12.5">
      <c r="B293" s="2"/>
      <c r="C293" s="2" t="str">
        <f ca="1">IFERROR(__xludf.DUMMYFUNCTION("""COMPUTED_VALUE"""),"")</f>
        <v/>
      </c>
      <c r="D293" s="2" t="str">
        <f ca="1">IFERROR(__xludf.DUMMYFUNCTION("""COMPUTED_VALUE"""),"")</f>
        <v/>
      </c>
      <c r="E293" s="29" t="str">
        <f ca="1">IFERROR(__xludf.DUMMYFUNCTION("""COMPUTED_VALUE"""),"")</f>
        <v/>
      </c>
      <c r="F293" s="30" t="str">
        <f ca="1">IFERROR(__xludf.DUMMYFUNCTION("""COMPUTED_VALUE"""),"")</f>
        <v/>
      </c>
      <c r="G293" s="29" t="str">
        <f ca="1">IFERROR(__xludf.DUMMYFUNCTION("""COMPUTED_VALUE"""),"")</f>
        <v/>
      </c>
      <c r="H293" s="30" t="str">
        <f ca="1">IFERROR(__xludf.DUMMYFUNCTION("""COMPUTED_VALUE"""),"")</f>
        <v/>
      </c>
      <c r="I293" s="29" t="str">
        <f ca="1">IFERROR(__xludf.DUMMYFUNCTION("""COMPUTED_VALUE"""),"")</f>
        <v/>
      </c>
      <c r="J293" s="29" t="str">
        <f ca="1">IFERROR(__xludf.DUMMYFUNCTION("""COMPUTED_VALUE"""),"")</f>
        <v/>
      </c>
      <c r="K293" s="29" t="str">
        <f ca="1">IFERROR(__xludf.DUMMYFUNCTION("""COMPUTED_VALUE"""),"")</f>
        <v/>
      </c>
      <c r="L293" s="29" t="str">
        <f ca="1">IFERROR(__xludf.DUMMYFUNCTION("""COMPUTED_VALUE"""),"")</f>
        <v/>
      </c>
      <c r="M293" s="29" t="str">
        <f ca="1">IFERROR(__xludf.DUMMYFUNCTION("""COMPUTED_VALUE"""),"")</f>
        <v/>
      </c>
      <c r="N293" s="29" t="str">
        <f ca="1">IFERROR(__xludf.DUMMYFUNCTION("""COMPUTED_VALUE"""),"")</f>
        <v/>
      </c>
    </row>
    <row r="294" spans="2:14" ht="12.5">
      <c r="B294" s="2"/>
      <c r="C294" s="2" t="str">
        <f ca="1">IFERROR(__xludf.DUMMYFUNCTION("""COMPUTED_VALUE"""),"")</f>
        <v/>
      </c>
      <c r="D294" s="2" t="str">
        <f ca="1">IFERROR(__xludf.DUMMYFUNCTION("""COMPUTED_VALUE"""),"")</f>
        <v/>
      </c>
      <c r="E294" s="29" t="str">
        <f ca="1">IFERROR(__xludf.DUMMYFUNCTION("""COMPUTED_VALUE"""),"")</f>
        <v/>
      </c>
      <c r="F294" s="30" t="str">
        <f ca="1">IFERROR(__xludf.DUMMYFUNCTION("""COMPUTED_VALUE"""),"")</f>
        <v/>
      </c>
      <c r="G294" s="29" t="str">
        <f ca="1">IFERROR(__xludf.DUMMYFUNCTION("""COMPUTED_VALUE"""),"")</f>
        <v/>
      </c>
      <c r="H294" s="30" t="str">
        <f ca="1">IFERROR(__xludf.DUMMYFUNCTION("""COMPUTED_VALUE"""),"")</f>
        <v/>
      </c>
      <c r="I294" s="29" t="str">
        <f ca="1">IFERROR(__xludf.DUMMYFUNCTION("""COMPUTED_VALUE"""),"")</f>
        <v/>
      </c>
      <c r="J294" s="29" t="str">
        <f ca="1">IFERROR(__xludf.DUMMYFUNCTION("""COMPUTED_VALUE"""),"")</f>
        <v/>
      </c>
      <c r="K294" s="29" t="str">
        <f ca="1">IFERROR(__xludf.DUMMYFUNCTION("""COMPUTED_VALUE"""),"")</f>
        <v/>
      </c>
      <c r="L294" s="29" t="str">
        <f ca="1">IFERROR(__xludf.DUMMYFUNCTION("""COMPUTED_VALUE"""),"")</f>
        <v/>
      </c>
      <c r="M294" s="29" t="str">
        <f ca="1">IFERROR(__xludf.DUMMYFUNCTION("""COMPUTED_VALUE"""),"")</f>
        <v/>
      </c>
      <c r="N294" s="29" t="str">
        <f ca="1">IFERROR(__xludf.DUMMYFUNCTION("""COMPUTED_VALUE"""),"")</f>
        <v/>
      </c>
    </row>
    <row r="295" spans="2:14" ht="12.5">
      <c r="B295" s="2"/>
      <c r="C295" s="2" t="str">
        <f ca="1">IFERROR(__xludf.DUMMYFUNCTION("""COMPUTED_VALUE"""),"")</f>
        <v/>
      </c>
      <c r="D295" s="2" t="str">
        <f ca="1">IFERROR(__xludf.DUMMYFUNCTION("""COMPUTED_VALUE"""),"")</f>
        <v/>
      </c>
      <c r="E295" s="29" t="str">
        <f ca="1">IFERROR(__xludf.DUMMYFUNCTION("""COMPUTED_VALUE"""),"")</f>
        <v/>
      </c>
      <c r="F295" s="30" t="str">
        <f ca="1">IFERROR(__xludf.DUMMYFUNCTION("""COMPUTED_VALUE"""),"")</f>
        <v/>
      </c>
      <c r="G295" s="29" t="str">
        <f ca="1">IFERROR(__xludf.DUMMYFUNCTION("""COMPUTED_VALUE"""),"")</f>
        <v/>
      </c>
      <c r="H295" s="30" t="str">
        <f ca="1">IFERROR(__xludf.DUMMYFUNCTION("""COMPUTED_VALUE"""),"")</f>
        <v/>
      </c>
      <c r="I295" s="29" t="str">
        <f ca="1">IFERROR(__xludf.DUMMYFUNCTION("""COMPUTED_VALUE"""),"")</f>
        <v/>
      </c>
      <c r="J295" s="29" t="str">
        <f ca="1">IFERROR(__xludf.DUMMYFUNCTION("""COMPUTED_VALUE"""),"")</f>
        <v/>
      </c>
      <c r="K295" s="29" t="str">
        <f ca="1">IFERROR(__xludf.DUMMYFUNCTION("""COMPUTED_VALUE"""),"")</f>
        <v/>
      </c>
      <c r="L295" s="29" t="str">
        <f ca="1">IFERROR(__xludf.DUMMYFUNCTION("""COMPUTED_VALUE"""),"")</f>
        <v/>
      </c>
      <c r="M295" s="29" t="str">
        <f ca="1">IFERROR(__xludf.DUMMYFUNCTION("""COMPUTED_VALUE"""),"")</f>
        <v/>
      </c>
      <c r="N295" s="29" t="str">
        <f ca="1">IFERROR(__xludf.DUMMYFUNCTION("""COMPUTED_VALUE"""),"")</f>
        <v/>
      </c>
    </row>
    <row r="296" spans="2:14" ht="12.5">
      <c r="B296" s="2"/>
      <c r="C296" s="2" t="str">
        <f ca="1">IFERROR(__xludf.DUMMYFUNCTION("""COMPUTED_VALUE"""),"")</f>
        <v/>
      </c>
      <c r="D296" s="2" t="str">
        <f ca="1">IFERROR(__xludf.DUMMYFUNCTION("""COMPUTED_VALUE"""),"")</f>
        <v/>
      </c>
      <c r="E296" s="29" t="str">
        <f ca="1">IFERROR(__xludf.DUMMYFUNCTION("""COMPUTED_VALUE"""),"")</f>
        <v/>
      </c>
      <c r="F296" s="30" t="str">
        <f ca="1">IFERROR(__xludf.DUMMYFUNCTION("""COMPUTED_VALUE"""),"")</f>
        <v/>
      </c>
      <c r="G296" s="29" t="str">
        <f ca="1">IFERROR(__xludf.DUMMYFUNCTION("""COMPUTED_VALUE"""),"")</f>
        <v/>
      </c>
      <c r="H296" s="30" t="str">
        <f ca="1">IFERROR(__xludf.DUMMYFUNCTION("""COMPUTED_VALUE"""),"")</f>
        <v/>
      </c>
      <c r="I296" s="29" t="str">
        <f ca="1">IFERROR(__xludf.DUMMYFUNCTION("""COMPUTED_VALUE"""),"")</f>
        <v/>
      </c>
      <c r="J296" s="29" t="str">
        <f ca="1">IFERROR(__xludf.DUMMYFUNCTION("""COMPUTED_VALUE"""),"")</f>
        <v/>
      </c>
      <c r="K296" s="29" t="str">
        <f ca="1">IFERROR(__xludf.DUMMYFUNCTION("""COMPUTED_VALUE"""),"")</f>
        <v/>
      </c>
      <c r="L296" s="29" t="str">
        <f ca="1">IFERROR(__xludf.DUMMYFUNCTION("""COMPUTED_VALUE"""),"")</f>
        <v/>
      </c>
      <c r="M296" s="29" t="str">
        <f ca="1">IFERROR(__xludf.DUMMYFUNCTION("""COMPUTED_VALUE"""),"")</f>
        <v/>
      </c>
      <c r="N296" s="29" t="str">
        <f ca="1">IFERROR(__xludf.DUMMYFUNCTION("""COMPUTED_VALUE"""),"")</f>
        <v/>
      </c>
    </row>
    <row r="297" spans="2:14" ht="12.5">
      <c r="B297" s="2"/>
      <c r="C297" s="2" t="str">
        <f ca="1">IFERROR(__xludf.DUMMYFUNCTION("""COMPUTED_VALUE"""),"")</f>
        <v/>
      </c>
      <c r="D297" s="2" t="str">
        <f ca="1">IFERROR(__xludf.DUMMYFUNCTION("""COMPUTED_VALUE"""),"")</f>
        <v/>
      </c>
      <c r="E297" s="29" t="str">
        <f ca="1">IFERROR(__xludf.DUMMYFUNCTION("""COMPUTED_VALUE"""),"")</f>
        <v/>
      </c>
      <c r="F297" s="30" t="str">
        <f ca="1">IFERROR(__xludf.DUMMYFUNCTION("""COMPUTED_VALUE"""),"")</f>
        <v/>
      </c>
      <c r="G297" s="29" t="str">
        <f ca="1">IFERROR(__xludf.DUMMYFUNCTION("""COMPUTED_VALUE"""),"")</f>
        <v/>
      </c>
      <c r="H297" s="30" t="str">
        <f ca="1">IFERROR(__xludf.DUMMYFUNCTION("""COMPUTED_VALUE"""),"")</f>
        <v/>
      </c>
      <c r="I297" s="29" t="str">
        <f ca="1">IFERROR(__xludf.DUMMYFUNCTION("""COMPUTED_VALUE"""),"")</f>
        <v/>
      </c>
      <c r="J297" s="29" t="str">
        <f ca="1">IFERROR(__xludf.DUMMYFUNCTION("""COMPUTED_VALUE"""),"")</f>
        <v/>
      </c>
      <c r="K297" s="29" t="str">
        <f ca="1">IFERROR(__xludf.DUMMYFUNCTION("""COMPUTED_VALUE"""),"")</f>
        <v/>
      </c>
      <c r="L297" s="29" t="str">
        <f ca="1">IFERROR(__xludf.DUMMYFUNCTION("""COMPUTED_VALUE"""),"")</f>
        <v/>
      </c>
      <c r="M297" s="29" t="str">
        <f ca="1">IFERROR(__xludf.DUMMYFUNCTION("""COMPUTED_VALUE"""),"")</f>
        <v/>
      </c>
      <c r="N297" s="29" t="str">
        <f ca="1">IFERROR(__xludf.DUMMYFUNCTION("""COMPUTED_VALUE"""),"")</f>
        <v/>
      </c>
    </row>
    <row r="298" spans="2:14" ht="12.5">
      <c r="B298" s="2"/>
      <c r="C298" s="2" t="str">
        <f ca="1">IFERROR(__xludf.DUMMYFUNCTION("""COMPUTED_VALUE"""),"")</f>
        <v/>
      </c>
      <c r="D298" s="2" t="str">
        <f ca="1">IFERROR(__xludf.DUMMYFUNCTION("""COMPUTED_VALUE"""),"")</f>
        <v/>
      </c>
      <c r="E298" s="29" t="str">
        <f ca="1">IFERROR(__xludf.DUMMYFUNCTION("""COMPUTED_VALUE"""),"")</f>
        <v/>
      </c>
      <c r="F298" s="30" t="str">
        <f ca="1">IFERROR(__xludf.DUMMYFUNCTION("""COMPUTED_VALUE"""),"")</f>
        <v/>
      </c>
      <c r="G298" s="29" t="str">
        <f ca="1">IFERROR(__xludf.DUMMYFUNCTION("""COMPUTED_VALUE"""),"")</f>
        <v/>
      </c>
      <c r="H298" s="30" t="str">
        <f ca="1">IFERROR(__xludf.DUMMYFUNCTION("""COMPUTED_VALUE"""),"")</f>
        <v/>
      </c>
      <c r="I298" s="29" t="str">
        <f ca="1">IFERROR(__xludf.DUMMYFUNCTION("""COMPUTED_VALUE"""),"")</f>
        <v/>
      </c>
      <c r="J298" s="29" t="str">
        <f ca="1">IFERROR(__xludf.DUMMYFUNCTION("""COMPUTED_VALUE"""),"")</f>
        <v/>
      </c>
      <c r="K298" s="29" t="str">
        <f ca="1">IFERROR(__xludf.DUMMYFUNCTION("""COMPUTED_VALUE"""),"")</f>
        <v/>
      </c>
      <c r="L298" s="29" t="str">
        <f ca="1">IFERROR(__xludf.DUMMYFUNCTION("""COMPUTED_VALUE"""),"")</f>
        <v/>
      </c>
      <c r="M298" s="29" t="str">
        <f ca="1">IFERROR(__xludf.DUMMYFUNCTION("""COMPUTED_VALUE"""),"")</f>
        <v/>
      </c>
      <c r="N298" s="29" t="str">
        <f ca="1">IFERROR(__xludf.DUMMYFUNCTION("""COMPUTED_VALUE"""),"")</f>
        <v/>
      </c>
    </row>
    <row r="299" spans="2:14" ht="12.5">
      <c r="B299" s="2"/>
      <c r="C299" s="2" t="str">
        <f ca="1">IFERROR(__xludf.DUMMYFUNCTION("""COMPUTED_VALUE"""),"")</f>
        <v/>
      </c>
      <c r="D299" s="2" t="str">
        <f ca="1">IFERROR(__xludf.DUMMYFUNCTION("""COMPUTED_VALUE"""),"")</f>
        <v/>
      </c>
      <c r="E299" s="29" t="str">
        <f ca="1">IFERROR(__xludf.DUMMYFUNCTION("""COMPUTED_VALUE"""),"")</f>
        <v/>
      </c>
      <c r="F299" s="30" t="str">
        <f ca="1">IFERROR(__xludf.DUMMYFUNCTION("""COMPUTED_VALUE"""),"")</f>
        <v/>
      </c>
      <c r="G299" s="29" t="str">
        <f ca="1">IFERROR(__xludf.DUMMYFUNCTION("""COMPUTED_VALUE"""),"")</f>
        <v/>
      </c>
      <c r="H299" s="30" t="str">
        <f ca="1">IFERROR(__xludf.DUMMYFUNCTION("""COMPUTED_VALUE"""),"")</f>
        <v/>
      </c>
      <c r="I299" s="29" t="str">
        <f ca="1">IFERROR(__xludf.DUMMYFUNCTION("""COMPUTED_VALUE"""),"")</f>
        <v/>
      </c>
      <c r="J299" s="29" t="str">
        <f ca="1">IFERROR(__xludf.DUMMYFUNCTION("""COMPUTED_VALUE"""),"")</f>
        <v/>
      </c>
      <c r="K299" s="29" t="str">
        <f ca="1">IFERROR(__xludf.DUMMYFUNCTION("""COMPUTED_VALUE"""),"")</f>
        <v/>
      </c>
      <c r="L299" s="29" t="str">
        <f ca="1">IFERROR(__xludf.DUMMYFUNCTION("""COMPUTED_VALUE"""),"")</f>
        <v/>
      </c>
      <c r="M299" s="29" t="str">
        <f ca="1">IFERROR(__xludf.DUMMYFUNCTION("""COMPUTED_VALUE"""),"")</f>
        <v/>
      </c>
      <c r="N299" s="29" t="str">
        <f ca="1">IFERROR(__xludf.DUMMYFUNCTION("""COMPUTED_VALUE"""),"")</f>
        <v/>
      </c>
    </row>
    <row r="300" spans="2:14" ht="12.5">
      <c r="B300" s="2"/>
      <c r="C300" s="2" t="str">
        <f ca="1">IFERROR(__xludf.DUMMYFUNCTION("""COMPUTED_VALUE"""),"")</f>
        <v/>
      </c>
      <c r="D300" s="2" t="str">
        <f ca="1">IFERROR(__xludf.DUMMYFUNCTION("""COMPUTED_VALUE"""),"")</f>
        <v/>
      </c>
      <c r="E300" s="29" t="str">
        <f ca="1">IFERROR(__xludf.DUMMYFUNCTION("""COMPUTED_VALUE"""),"")</f>
        <v/>
      </c>
      <c r="F300" s="30" t="str">
        <f ca="1">IFERROR(__xludf.DUMMYFUNCTION("""COMPUTED_VALUE"""),"")</f>
        <v/>
      </c>
      <c r="G300" s="29" t="str">
        <f ca="1">IFERROR(__xludf.DUMMYFUNCTION("""COMPUTED_VALUE"""),"")</f>
        <v/>
      </c>
      <c r="H300" s="30" t="str">
        <f ca="1">IFERROR(__xludf.DUMMYFUNCTION("""COMPUTED_VALUE"""),"")</f>
        <v/>
      </c>
      <c r="I300" s="29" t="str">
        <f ca="1">IFERROR(__xludf.DUMMYFUNCTION("""COMPUTED_VALUE"""),"")</f>
        <v/>
      </c>
      <c r="J300" s="29" t="str">
        <f ca="1">IFERROR(__xludf.DUMMYFUNCTION("""COMPUTED_VALUE"""),"")</f>
        <v/>
      </c>
      <c r="K300" s="29" t="str">
        <f ca="1">IFERROR(__xludf.DUMMYFUNCTION("""COMPUTED_VALUE"""),"")</f>
        <v/>
      </c>
      <c r="L300" s="29" t="str">
        <f ca="1">IFERROR(__xludf.DUMMYFUNCTION("""COMPUTED_VALUE"""),"")</f>
        <v/>
      </c>
      <c r="M300" s="29" t="str">
        <f ca="1">IFERROR(__xludf.DUMMYFUNCTION("""COMPUTED_VALUE"""),"")</f>
        <v/>
      </c>
      <c r="N300" s="29" t="str">
        <f ca="1">IFERROR(__xludf.DUMMYFUNCTION("""COMPUTED_VALUE"""),"")</f>
        <v/>
      </c>
    </row>
    <row r="301" spans="2:14" ht="12.5">
      <c r="B301" s="2"/>
      <c r="C301" s="2" t="str">
        <f ca="1">IFERROR(__xludf.DUMMYFUNCTION("""COMPUTED_VALUE"""),"")</f>
        <v/>
      </c>
      <c r="D301" s="2" t="str">
        <f ca="1">IFERROR(__xludf.DUMMYFUNCTION("""COMPUTED_VALUE"""),"")</f>
        <v/>
      </c>
      <c r="E301" s="29" t="str">
        <f ca="1">IFERROR(__xludf.DUMMYFUNCTION("""COMPUTED_VALUE"""),"")</f>
        <v/>
      </c>
      <c r="F301" s="30" t="str">
        <f ca="1">IFERROR(__xludf.DUMMYFUNCTION("""COMPUTED_VALUE"""),"")</f>
        <v/>
      </c>
      <c r="G301" s="29" t="str">
        <f ca="1">IFERROR(__xludf.DUMMYFUNCTION("""COMPUTED_VALUE"""),"")</f>
        <v/>
      </c>
      <c r="H301" s="30" t="str">
        <f ca="1">IFERROR(__xludf.DUMMYFUNCTION("""COMPUTED_VALUE"""),"")</f>
        <v/>
      </c>
      <c r="I301" s="29" t="str">
        <f ca="1">IFERROR(__xludf.DUMMYFUNCTION("""COMPUTED_VALUE"""),"")</f>
        <v/>
      </c>
      <c r="J301" s="29" t="str">
        <f ca="1">IFERROR(__xludf.DUMMYFUNCTION("""COMPUTED_VALUE"""),"")</f>
        <v/>
      </c>
      <c r="K301" s="29" t="str">
        <f ca="1">IFERROR(__xludf.DUMMYFUNCTION("""COMPUTED_VALUE"""),"")</f>
        <v/>
      </c>
      <c r="L301" s="29" t="str">
        <f ca="1">IFERROR(__xludf.DUMMYFUNCTION("""COMPUTED_VALUE"""),"")</f>
        <v/>
      </c>
      <c r="M301" s="29" t="str">
        <f ca="1">IFERROR(__xludf.DUMMYFUNCTION("""COMPUTED_VALUE"""),"")</f>
        <v/>
      </c>
      <c r="N301" s="29" t="str">
        <f ca="1">IFERROR(__xludf.DUMMYFUNCTION("""COMPUTED_VALUE"""),"")</f>
        <v/>
      </c>
    </row>
    <row r="302" spans="2:14" ht="12.5">
      <c r="B302" s="2"/>
      <c r="C302" s="2" t="str">
        <f ca="1">IFERROR(__xludf.DUMMYFUNCTION("""COMPUTED_VALUE"""),"")</f>
        <v/>
      </c>
      <c r="D302" s="2" t="str">
        <f ca="1">IFERROR(__xludf.DUMMYFUNCTION("""COMPUTED_VALUE"""),"")</f>
        <v/>
      </c>
      <c r="E302" s="29" t="str">
        <f ca="1">IFERROR(__xludf.DUMMYFUNCTION("""COMPUTED_VALUE"""),"")</f>
        <v/>
      </c>
      <c r="F302" s="30" t="str">
        <f ca="1">IFERROR(__xludf.DUMMYFUNCTION("""COMPUTED_VALUE"""),"")</f>
        <v/>
      </c>
      <c r="G302" s="29" t="str">
        <f ca="1">IFERROR(__xludf.DUMMYFUNCTION("""COMPUTED_VALUE"""),"")</f>
        <v/>
      </c>
      <c r="H302" s="30" t="str">
        <f ca="1">IFERROR(__xludf.DUMMYFUNCTION("""COMPUTED_VALUE"""),"")</f>
        <v/>
      </c>
      <c r="I302" s="29" t="str">
        <f ca="1">IFERROR(__xludf.DUMMYFUNCTION("""COMPUTED_VALUE"""),"")</f>
        <v/>
      </c>
      <c r="J302" s="29" t="str">
        <f ca="1">IFERROR(__xludf.DUMMYFUNCTION("""COMPUTED_VALUE"""),"")</f>
        <v/>
      </c>
      <c r="K302" s="29" t="str">
        <f ca="1">IFERROR(__xludf.DUMMYFUNCTION("""COMPUTED_VALUE"""),"")</f>
        <v/>
      </c>
      <c r="L302" s="29" t="str">
        <f ca="1">IFERROR(__xludf.DUMMYFUNCTION("""COMPUTED_VALUE"""),"")</f>
        <v/>
      </c>
      <c r="M302" s="29" t="str">
        <f ca="1">IFERROR(__xludf.DUMMYFUNCTION("""COMPUTED_VALUE"""),"")</f>
        <v/>
      </c>
      <c r="N302" s="29" t="str">
        <f ca="1">IFERROR(__xludf.DUMMYFUNCTION("""COMPUTED_VALUE"""),"")</f>
        <v/>
      </c>
    </row>
    <row r="303" spans="2:14" ht="12.5">
      <c r="B303" s="2"/>
      <c r="C303" s="2" t="str">
        <f ca="1">IFERROR(__xludf.DUMMYFUNCTION("""COMPUTED_VALUE"""),"")</f>
        <v/>
      </c>
      <c r="D303" s="2" t="str">
        <f ca="1">IFERROR(__xludf.DUMMYFUNCTION("""COMPUTED_VALUE"""),"")</f>
        <v/>
      </c>
      <c r="E303" s="29" t="str">
        <f ca="1">IFERROR(__xludf.DUMMYFUNCTION("""COMPUTED_VALUE"""),"")</f>
        <v/>
      </c>
      <c r="F303" s="30" t="str">
        <f ca="1">IFERROR(__xludf.DUMMYFUNCTION("""COMPUTED_VALUE"""),"")</f>
        <v/>
      </c>
      <c r="G303" s="29" t="str">
        <f ca="1">IFERROR(__xludf.DUMMYFUNCTION("""COMPUTED_VALUE"""),"")</f>
        <v/>
      </c>
      <c r="H303" s="30" t="str">
        <f ca="1">IFERROR(__xludf.DUMMYFUNCTION("""COMPUTED_VALUE"""),"")</f>
        <v/>
      </c>
      <c r="I303" s="29" t="str">
        <f ca="1">IFERROR(__xludf.DUMMYFUNCTION("""COMPUTED_VALUE"""),"")</f>
        <v/>
      </c>
      <c r="J303" s="29" t="str">
        <f ca="1">IFERROR(__xludf.DUMMYFUNCTION("""COMPUTED_VALUE"""),"")</f>
        <v/>
      </c>
      <c r="K303" s="29" t="str">
        <f ca="1">IFERROR(__xludf.DUMMYFUNCTION("""COMPUTED_VALUE"""),"")</f>
        <v/>
      </c>
      <c r="L303" s="29" t="str">
        <f ca="1">IFERROR(__xludf.DUMMYFUNCTION("""COMPUTED_VALUE"""),"")</f>
        <v/>
      </c>
      <c r="M303" s="29" t="str">
        <f ca="1">IFERROR(__xludf.DUMMYFUNCTION("""COMPUTED_VALUE"""),"")</f>
        <v/>
      </c>
      <c r="N303" s="29" t="str">
        <f ca="1">IFERROR(__xludf.DUMMYFUNCTION("""COMPUTED_VALUE"""),"")</f>
        <v/>
      </c>
    </row>
    <row r="304" spans="2:14" ht="12.5">
      <c r="B304" s="2"/>
      <c r="C304" s="2" t="str">
        <f ca="1">IFERROR(__xludf.DUMMYFUNCTION("""COMPUTED_VALUE"""),"")</f>
        <v/>
      </c>
      <c r="D304" s="2" t="str">
        <f ca="1">IFERROR(__xludf.DUMMYFUNCTION("""COMPUTED_VALUE"""),"")</f>
        <v/>
      </c>
      <c r="E304" s="29" t="str">
        <f ca="1">IFERROR(__xludf.DUMMYFUNCTION("""COMPUTED_VALUE"""),"")</f>
        <v/>
      </c>
      <c r="F304" s="30" t="str">
        <f ca="1">IFERROR(__xludf.DUMMYFUNCTION("""COMPUTED_VALUE"""),"")</f>
        <v/>
      </c>
      <c r="G304" s="29" t="str">
        <f ca="1">IFERROR(__xludf.DUMMYFUNCTION("""COMPUTED_VALUE"""),"")</f>
        <v/>
      </c>
      <c r="H304" s="30" t="str">
        <f ca="1">IFERROR(__xludf.DUMMYFUNCTION("""COMPUTED_VALUE"""),"")</f>
        <v/>
      </c>
      <c r="I304" s="29" t="str">
        <f ca="1">IFERROR(__xludf.DUMMYFUNCTION("""COMPUTED_VALUE"""),"")</f>
        <v/>
      </c>
      <c r="J304" s="29" t="str">
        <f ca="1">IFERROR(__xludf.DUMMYFUNCTION("""COMPUTED_VALUE"""),"")</f>
        <v/>
      </c>
      <c r="K304" s="29" t="str">
        <f ca="1">IFERROR(__xludf.DUMMYFUNCTION("""COMPUTED_VALUE"""),"")</f>
        <v/>
      </c>
      <c r="L304" s="29" t="str">
        <f ca="1">IFERROR(__xludf.DUMMYFUNCTION("""COMPUTED_VALUE"""),"")</f>
        <v/>
      </c>
      <c r="M304" s="29" t="str">
        <f ca="1">IFERROR(__xludf.DUMMYFUNCTION("""COMPUTED_VALUE"""),"")</f>
        <v/>
      </c>
      <c r="N304" s="29" t="str">
        <f ca="1">IFERROR(__xludf.DUMMYFUNCTION("""COMPUTED_VALUE"""),"")</f>
        <v/>
      </c>
    </row>
    <row r="305" spans="2:14" ht="12.5">
      <c r="B305" s="2"/>
      <c r="C305" s="2" t="str">
        <f ca="1">IFERROR(__xludf.DUMMYFUNCTION("""COMPUTED_VALUE"""),"")</f>
        <v/>
      </c>
      <c r="D305" s="2" t="str">
        <f ca="1">IFERROR(__xludf.DUMMYFUNCTION("""COMPUTED_VALUE"""),"")</f>
        <v/>
      </c>
      <c r="E305" s="29" t="str">
        <f ca="1">IFERROR(__xludf.DUMMYFUNCTION("""COMPUTED_VALUE"""),"")</f>
        <v/>
      </c>
      <c r="F305" s="30" t="str">
        <f ca="1">IFERROR(__xludf.DUMMYFUNCTION("""COMPUTED_VALUE"""),"")</f>
        <v/>
      </c>
      <c r="G305" s="29" t="str">
        <f ca="1">IFERROR(__xludf.DUMMYFUNCTION("""COMPUTED_VALUE"""),"")</f>
        <v/>
      </c>
      <c r="H305" s="30" t="str">
        <f ca="1">IFERROR(__xludf.DUMMYFUNCTION("""COMPUTED_VALUE"""),"")</f>
        <v/>
      </c>
      <c r="I305" s="29" t="str">
        <f ca="1">IFERROR(__xludf.DUMMYFUNCTION("""COMPUTED_VALUE"""),"")</f>
        <v/>
      </c>
      <c r="J305" s="29" t="str">
        <f ca="1">IFERROR(__xludf.DUMMYFUNCTION("""COMPUTED_VALUE"""),"")</f>
        <v/>
      </c>
      <c r="K305" s="29" t="str">
        <f ca="1">IFERROR(__xludf.DUMMYFUNCTION("""COMPUTED_VALUE"""),"")</f>
        <v/>
      </c>
      <c r="L305" s="29" t="str">
        <f ca="1">IFERROR(__xludf.DUMMYFUNCTION("""COMPUTED_VALUE"""),"")</f>
        <v/>
      </c>
      <c r="M305" s="29" t="str">
        <f ca="1">IFERROR(__xludf.DUMMYFUNCTION("""COMPUTED_VALUE"""),"")</f>
        <v/>
      </c>
      <c r="N305" s="29" t="str">
        <f ca="1">IFERROR(__xludf.DUMMYFUNCTION("""COMPUTED_VALUE"""),"")</f>
        <v/>
      </c>
    </row>
    <row r="306" spans="2:14" ht="12.5">
      <c r="B306" s="2"/>
      <c r="C306" s="2" t="str">
        <f ca="1">IFERROR(__xludf.DUMMYFUNCTION("""COMPUTED_VALUE"""),"")</f>
        <v/>
      </c>
      <c r="D306" s="2" t="str">
        <f ca="1">IFERROR(__xludf.DUMMYFUNCTION("""COMPUTED_VALUE"""),"")</f>
        <v/>
      </c>
      <c r="E306" s="29" t="str">
        <f ca="1">IFERROR(__xludf.DUMMYFUNCTION("""COMPUTED_VALUE"""),"")</f>
        <v/>
      </c>
      <c r="F306" s="30" t="str">
        <f ca="1">IFERROR(__xludf.DUMMYFUNCTION("""COMPUTED_VALUE"""),"")</f>
        <v/>
      </c>
      <c r="G306" s="29" t="str">
        <f ca="1">IFERROR(__xludf.DUMMYFUNCTION("""COMPUTED_VALUE"""),"")</f>
        <v/>
      </c>
      <c r="H306" s="30" t="str">
        <f ca="1">IFERROR(__xludf.DUMMYFUNCTION("""COMPUTED_VALUE"""),"")</f>
        <v/>
      </c>
      <c r="I306" s="29" t="str">
        <f ca="1">IFERROR(__xludf.DUMMYFUNCTION("""COMPUTED_VALUE"""),"")</f>
        <v/>
      </c>
      <c r="J306" s="29" t="str">
        <f ca="1">IFERROR(__xludf.DUMMYFUNCTION("""COMPUTED_VALUE"""),"")</f>
        <v/>
      </c>
      <c r="K306" s="29" t="str">
        <f ca="1">IFERROR(__xludf.DUMMYFUNCTION("""COMPUTED_VALUE"""),"")</f>
        <v/>
      </c>
      <c r="L306" s="29" t="str">
        <f ca="1">IFERROR(__xludf.DUMMYFUNCTION("""COMPUTED_VALUE"""),"")</f>
        <v/>
      </c>
      <c r="M306" s="29" t="str">
        <f ca="1">IFERROR(__xludf.DUMMYFUNCTION("""COMPUTED_VALUE"""),"")</f>
        <v/>
      </c>
      <c r="N306" s="29" t="str">
        <f ca="1">IFERROR(__xludf.DUMMYFUNCTION("""COMPUTED_VALUE"""),"")</f>
        <v/>
      </c>
    </row>
    <row r="307" spans="2:14" ht="12.5">
      <c r="B307" s="2"/>
      <c r="C307" s="2" t="str">
        <f ca="1">IFERROR(__xludf.DUMMYFUNCTION("""COMPUTED_VALUE"""),"")</f>
        <v/>
      </c>
      <c r="D307" s="2" t="str">
        <f ca="1">IFERROR(__xludf.DUMMYFUNCTION("""COMPUTED_VALUE"""),"")</f>
        <v/>
      </c>
      <c r="E307" s="29" t="str">
        <f ca="1">IFERROR(__xludf.DUMMYFUNCTION("""COMPUTED_VALUE"""),"")</f>
        <v/>
      </c>
      <c r="F307" s="30" t="str">
        <f ca="1">IFERROR(__xludf.DUMMYFUNCTION("""COMPUTED_VALUE"""),"")</f>
        <v/>
      </c>
      <c r="G307" s="29" t="str">
        <f ca="1">IFERROR(__xludf.DUMMYFUNCTION("""COMPUTED_VALUE"""),"")</f>
        <v/>
      </c>
      <c r="H307" s="30" t="str">
        <f ca="1">IFERROR(__xludf.DUMMYFUNCTION("""COMPUTED_VALUE"""),"")</f>
        <v/>
      </c>
      <c r="I307" s="29" t="str">
        <f ca="1">IFERROR(__xludf.DUMMYFUNCTION("""COMPUTED_VALUE"""),"")</f>
        <v/>
      </c>
      <c r="J307" s="29" t="str">
        <f ca="1">IFERROR(__xludf.DUMMYFUNCTION("""COMPUTED_VALUE"""),"")</f>
        <v/>
      </c>
      <c r="K307" s="29" t="str">
        <f ca="1">IFERROR(__xludf.DUMMYFUNCTION("""COMPUTED_VALUE"""),"")</f>
        <v/>
      </c>
      <c r="L307" s="29" t="str">
        <f ca="1">IFERROR(__xludf.DUMMYFUNCTION("""COMPUTED_VALUE"""),"")</f>
        <v/>
      </c>
      <c r="M307" s="29" t="str">
        <f ca="1">IFERROR(__xludf.DUMMYFUNCTION("""COMPUTED_VALUE"""),"")</f>
        <v/>
      </c>
      <c r="N307" s="29" t="str">
        <f ca="1">IFERROR(__xludf.DUMMYFUNCTION("""COMPUTED_VALUE"""),"")</f>
        <v/>
      </c>
    </row>
    <row r="308" spans="2:14" ht="12.5">
      <c r="B308" s="2"/>
      <c r="C308" s="2" t="str">
        <f ca="1">IFERROR(__xludf.DUMMYFUNCTION("""COMPUTED_VALUE"""),"")</f>
        <v/>
      </c>
      <c r="D308" s="2" t="str">
        <f ca="1">IFERROR(__xludf.DUMMYFUNCTION("""COMPUTED_VALUE"""),"")</f>
        <v/>
      </c>
      <c r="E308" s="29" t="str">
        <f ca="1">IFERROR(__xludf.DUMMYFUNCTION("""COMPUTED_VALUE"""),"")</f>
        <v/>
      </c>
      <c r="F308" s="30" t="str">
        <f ca="1">IFERROR(__xludf.DUMMYFUNCTION("""COMPUTED_VALUE"""),"")</f>
        <v/>
      </c>
      <c r="G308" s="29" t="str">
        <f ca="1">IFERROR(__xludf.DUMMYFUNCTION("""COMPUTED_VALUE"""),"")</f>
        <v/>
      </c>
      <c r="H308" s="30" t="str">
        <f ca="1">IFERROR(__xludf.DUMMYFUNCTION("""COMPUTED_VALUE"""),"")</f>
        <v/>
      </c>
      <c r="I308" s="29" t="str">
        <f ca="1">IFERROR(__xludf.DUMMYFUNCTION("""COMPUTED_VALUE"""),"")</f>
        <v/>
      </c>
      <c r="J308" s="29" t="str">
        <f ca="1">IFERROR(__xludf.DUMMYFUNCTION("""COMPUTED_VALUE"""),"")</f>
        <v/>
      </c>
      <c r="K308" s="29" t="str">
        <f ca="1">IFERROR(__xludf.DUMMYFUNCTION("""COMPUTED_VALUE"""),"")</f>
        <v/>
      </c>
      <c r="L308" s="29" t="str">
        <f ca="1">IFERROR(__xludf.DUMMYFUNCTION("""COMPUTED_VALUE"""),"")</f>
        <v/>
      </c>
      <c r="M308" s="29" t="str">
        <f ca="1">IFERROR(__xludf.DUMMYFUNCTION("""COMPUTED_VALUE"""),"")</f>
        <v/>
      </c>
      <c r="N308" s="29" t="str">
        <f ca="1">IFERROR(__xludf.DUMMYFUNCTION("""COMPUTED_VALUE"""),"")</f>
        <v/>
      </c>
    </row>
    <row r="309" spans="2:14" ht="12.5">
      <c r="B309" s="2"/>
      <c r="C309" s="2" t="str">
        <f ca="1">IFERROR(__xludf.DUMMYFUNCTION("""COMPUTED_VALUE"""),"")</f>
        <v/>
      </c>
      <c r="D309" s="2" t="str">
        <f ca="1">IFERROR(__xludf.DUMMYFUNCTION("""COMPUTED_VALUE"""),"")</f>
        <v/>
      </c>
      <c r="E309" s="29" t="str">
        <f ca="1">IFERROR(__xludf.DUMMYFUNCTION("""COMPUTED_VALUE"""),"")</f>
        <v/>
      </c>
      <c r="F309" s="30" t="str">
        <f ca="1">IFERROR(__xludf.DUMMYFUNCTION("""COMPUTED_VALUE"""),"")</f>
        <v/>
      </c>
      <c r="G309" s="29" t="str">
        <f ca="1">IFERROR(__xludf.DUMMYFUNCTION("""COMPUTED_VALUE"""),"")</f>
        <v/>
      </c>
      <c r="H309" s="30" t="str">
        <f ca="1">IFERROR(__xludf.DUMMYFUNCTION("""COMPUTED_VALUE"""),"")</f>
        <v/>
      </c>
      <c r="I309" s="29" t="str">
        <f ca="1">IFERROR(__xludf.DUMMYFUNCTION("""COMPUTED_VALUE"""),"")</f>
        <v/>
      </c>
      <c r="J309" s="29" t="str">
        <f ca="1">IFERROR(__xludf.DUMMYFUNCTION("""COMPUTED_VALUE"""),"")</f>
        <v/>
      </c>
      <c r="K309" s="29" t="str">
        <f ca="1">IFERROR(__xludf.DUMMYFUNCTION("""COMPUTED_VALUE"""),"")</f>
        <v/>
      </c>
      <c r="L309" s="29" t="str">
        <f ca="1">IFERROR(__xludf.DUMMYFUNCTION("""COMPUTED_VALUE"""),"")</f>
        <v/>
      </c>
      <c r="M309" s="29" t="str">
        <f ca="1">IFERROR(__xludf.DUMMYFUNCTION("""COMPUTED_VALUE"""),"")</f>
        <v/>
      </c>
      <c r="N309" s="29" t="str">
        <f ca="1">IFERROR(__xludf.DUMMYFUNCTION("""COMPUTED_VALUE"""),"")</f>
        <v/>
      </c>
    </row>
    <row r="310" spans="2:14" ht="12.5">
      <c r="B310" s="2"/>
      <c r="C310" s="2" t="str">
        <f ca="1">IFERROR(__xludf.DUMMYFUNCTION("""COMPUTED_VALUE"""),"")</f>
        <v/>
      </c>
      <c r="D310" s="2" t="str">
        <f ca="1">IFERROR(__xludf.DUMMYFUNCTION("""COMPUTED_VALUE"""),"")</f>
        <v/>
      </c>
      <c r="E310" s="29" t="str">
        <f ca="1">IFERROR(__xludf.DUMMYFUNCTION("""COMPUTED_VALUE"""),"")</f>
        <v/>
      </c>
      <c r="F310" s="30" t="str">
        <f ca="1">IFERROR(__xludf.DUMMYFUNCTION("""COMPUTED_VALUE"""),"")</f>
        <v/>
      </c>
      <c r="G310" s="29" t="str">
        <f ca="1">IFERROR(__xludf.DUMMYFUNCTION("""COMPUTED_VALUE"""),"")</f>
        <v/>
      </c>
      <c r="H310" s="30" t="str">
        <f ca="1">IFERROR(__xludf.DUMMYFUNCTION("""COMPUTED_VALUE"""),"")</f>
        <v/>
      </c>
      <c r="I310" s="29" t="str">
        <f ca="1">IFERROR(__xludf.DUMMYFUNCTION("""COMPUTED_VALUE"""),"")</f>
        <v/>
      </c>
      <c r="J310" s="29" t="str">
        <f ca="1">IFERROR(__xludf.DUMMYFUNCTION("""COMPUTED_VALUE"""),"")</f>
        <v/>
      </c>
      <c r="K310" s="29" t="str">
        <f ca="1">IFERROR(__xludf.DUMMYFUNCTION("""COMPUTED_VALUE"""),"")</f>
        <v/>
      </c>
      <c r="L310" s="29" t="str">
        <f ca="1">IFERROR(__xludf.DUMMYFUNCTION("""COMPUTED_VALUE"""),"")</f>
        <v/>
      </c>
      <c r="M310" s="29" t="str">
        <f ca="1">IFERROR(__xludf.DUMMYFUNCTION("""COMPUTED_VALUE"""),"")</f>
        <v/>
      </c>
      <c r="N310" s="29" t="str">
        <f ca="1">IFERROR(__xludf.DUMMYFUNCTION("""COMPUTED_VALUE"""),"")</f>
        <v/>
      </c>
    </row>
    <row r="311" spans="2:14" ht="12.5">
      <c r="B311" s="2"/>
      <c r="C311" s="2" t="str">
        <f ca="1">IFERROR(__xludf.DUMMYFUNCTION("""COMPUTED_VALUE"""),"")</f>
        <v/>
      </c>
      <c r="D311" s="2" t="str">
        <f ca="1">IFERROR(__xludf.DUMMYFUNCTION("""COMPUTED_VALUE"""),"")</f>
        <v/>
      </c>
      <c r="E311" s="29" t="str">
        <f ca="1">IFERROR(__xludf.DUMMYFUNCTION("""COMPUTED_VALUE"""),"")</f>
        <v/>
      </c>
      <c r="F311" s="30" t="str">
        <f ca="1">IFERROR(__xludf.DUMMYFUNCTION("""COMPUTED_VALUE"""),"")</f>
        <v/>
      </c>
      <c r="G311" s="29" t="str">
        <f ca="1">IFERROR(__xludf.DUMMYFUNCTION("""COMPUTED_VALUE"""),"")</f>
        <v/>
      </c>
      <c r="H311" s="30" t="str">
        <f ca="1">IFERROR(__xludf.DUMMYFUNCTION("""COMPUTED_VALUE"""),"")</f>
        <v/>
      </c>
      <c r="I311" s="29" t="str">
        <f ca="1">IFERROR(__xludf.DUMMYFUNCTION("""COMPUTED_VALUE"""),"")</f>
        <v/>
      </c>
      <c r="J311" s="29" t="str">
        <f ca="1">IFERROR(__xludf.DUMMYFUNCTION("""COMPUTED_VALUE"""),"")</f>
        <v/>
      </c>
      <c r="K311" s="29" t="str">
        <f ca="1">IFERROR(__xludf.DUMMYFUNCTION("""COMPUTED_VALUE"""),"")</f>
        <v/>
      </c>
      <c r="L311" s="29" t="str">
        <f ca="1">IFERROR(__xludf.DUMMYFUNCTION("""COMPUTED_VALUE"""),"")</f>
        <v/>
      </c>
      <c r="M311" s="29" t="str">
        <f ca="1">IFERROR(__xludf.DUMMYFUNCTION("""COMPUTED_VALUE"""),"")</f>
        <v/>
      </c>
      <c r="N311" s="29" t="str">
        <f ca="1">IFERROR(__xludf.DUMMYFUNCTION("""COMPUTED_VALUE"""),"")</f>
        <v/>
      </c>
    </row>
    <row r="312" spans="2:14" ht="12.5">
      <c r="B312" s="2"/>
      <c r="C312" s="2" t="str">
        <f ca="1">IFERROR(__xludf.DUMMYFUNCTION("""COMPUTED_VALUE"""),"")</f>
        <v/>
      </c>
      <c r="D312" s="2" t="str">
        <f ca="1">IFERROR(__xludf.DUMMYFUNCTION("""COMPUTED_VALUE"""),"")</f>
        <v/>
      </c>
      <c r="E312" s="29" t="str">
        <f ca="1">IFERROR(__xludf.DUMMYFUNCTION("""COMPUTED_VALUE"""),"")</f>
        <v/>
      </c>
      <c r="F312" s="30" t="str">
        <f ca="1">IFERROR(__xludf.DUMMYFUNCTION("""COMPUTED_VALUE"""),"")</f>
        <v/>
      </c>
      <c r="G312" s="29" t="str">
        <f ca="1">IFERROR(__xludf.DUMMYFUNCTION("""COMPUTED_VALUE"""),"")</f>
        <v/>
      </c>
      <c r="H312" s="30" t="str">
        <f ca="1">IFERROR(__xludf.DUMMYFUNCTION("""COMPUTED_VALUE"""),"")</f>
        <v/>
      </c>
      <c r="I312" s="29" t="str">
        <f ca="1">IFERROR(__xludf.DUMMYFUNCTION("""COMPUTED_VALUE"""),"")</f>
        <v/>
      </c>
      <c r="J312" s="29" t="str">
        <f ca="1">IFERROR(__xludf.DUMMYFUNCTION("""COMPUTED_VALUE"""),"")</f>
        <v/>
      </c>
      <c r="K312" s="29" t="str">
        <f ca="1">IFERROR(__xludf.DUMMYFUNCTION("""COMPUTED_VALUE"""),"")</f>
        <v/>
      </c>
      <c r="L312" s="29" t="str">
        <f ca="1">IFERROR(__xludf.DUMMYFUNCTION("""COMPUTED_VALUE"""),"")</f>
        <v/>
      </c>
      <c r="M312" s="29" t="str">
        <f ca="1">IFERROR(__xludf.DUMMYFUNCTION("""COMPUTED_VALUE"""),"")</f>
        <v/>
      </c>
      <c r="N312" s="29" t="str">
        <f ca="1">IFERROR(__xludf.DUMMYFUNCTION("""COMPUTED_VALUE"""),"")</f>
        <v/>
      </c>
    </row>
    <row r="313" spans="2:14" ht="12.5">
      <c r="B313" s="2"/>
      <c r="C313" s="2" t="str">
        <f ca="1">IFERROR(__xludf.DUMMYFUNCTION("""COMPUTED_VALUE"""),"")</f>
        <v/>
      </c>
      <c r="D313" s="2" t="str">
        <f ca="1">IFERROR(__xludf.DUMMYFUNCTION("""COMPUTED_VALUE"""),"")</f>
        <v/>
      </c>
      <c r="E313" s="29" t="str">
        <f ca="1">IFERROR(__xludf.DUMMYFUNCTION("""COMPUTED_VALUE"""),"")</f>
        <v/>
      </c>
      <c r="F313" s="30" t="str">
        <f ca="1">IFERROR(__xludf.DUMMYFUNCTION("""COMPUTED_VALUE"""),"")</f>
        <v/>
      </c>
      <c r="G313" s="29" t="str">
        <f ca="1">IFERROR(__xludf.DUMMYFUNCTION("""COMPUTED_VALUE"""),"")</f>
        <v/>
      </c>
      <c r="H313" s="30" t="str">
        <f ca="1">IFERROR(__xludf.DUMMYFUNCTION("""COMPUTED_VALUE"""),"")</f>
        <v/>
      </c>
      <c r="I313" s="29" t="str">
        <f ca="1">IFERROR(__xludf.DUMMYFUNCTION("""COMPUTED_VALUE"""),"")</f>
        <v/>
      </c>
      <c r="J313" s="29" t="str">
        <f ca="1">IFERROR(__xludf.DUMMYFUNCTION("""COMPUTED_VALUE"""),"")</f>
        <v/>
      </c>
      <c r="K313" s="29" t="str">
        <f ca="1">IFERROR(__xludf.DUMMYFUNCTION("""COMPUTED_VALUE"""),"")</f>
        <v/>
      </c>
      <c r="L313" s="29" t="str">
        <f ca="1">IFERROR(__xludf.DUMMYFUNCTION("""COMPUTED_VALUE"""),"")</f>
        <v/>
      </c>
      <c r="M313" s="29" t="str">
        <f ca="1">IFERROR(__xludf.DUMMYFUNCTION("""COMPUTED_VALUE"""),"")</f>
        <v/>
      </c>
      <c r="N313" s="29" t="str">
        <f ca="1">IFERROR(__xludf.DUMMYFUNCTION("""COMPUTED_VALUE"""),"")</f>
        <v/>
      </c>
    </row>
    <row r="314" spans="2:14" ht="12.5">
      <c r="B314" s="2"/>
      <c r="C314" s="2" t="str">
        <f ca="1">IFERROR(__xludf.DUMMYFUNCTION("""COMPUTED_VALUE"""),"")</f>
        <v/>
      </c>
      <c r="D314" s="2" t="str">
        <f ca="1">IFERROR(__xludf.DUMMYFUNCTION("""COMPUTED_VALUE"""),"")</f>
        <v/>
      </c>
      <c r="E314" s="29" t="str">
        <f ca="1">IFERROR(__xludf.DUMMYFUNCTION("""COMPUTED_VALUE"""),"")</f>
        <v/>
      </c>
      <c r="F314" s="30" t="str">
        <f ca="1">IFERROR(__xludf.DUMMYFUNCTION("""COMPUTED_VALUE"""),"")</f>
        <v/>
      </c>
      <c r="G314" s="29" t="str">
        <f ca="1">IFERROR(__xludf.DUMMYFUNCTION("""COMPUTED_VALUE"""),"")</f>
        <v/>
      </c>
      <c r="H314" s="30" t="str">
        <f ca="1">IFERROR(__xludf.DUMMYFUNCTION("""COMPUTED_VALUE"""),"")</f>
        <v/>
      </c>
      <c r="I314" s="29" t="str">
        <f ca="1">IFERROR(__xludf.DUMMYFUNCTION("""COMPUTED_VALUE"""),"")</f>
        <v/>
      </c>
      <c r="J314" s="29" t="str">
        <f ca="1">IFERROR(__xludf.DUMMYFUNCTION("""COMPUTED_VALUE"""),"")</f>
        <v/>
      </c>
      <c r="K314" s="29" t="str">
        <f ca="1">IFERROR(__xludf.DUMMYFUNCTION("""COMPUTED_VALUE"""),"")</f>
        <v/>
      </c>
      <c r="L314" s="29" t="str">
        <f ca="1">IFERROR(__xludf.DUMMYFUNCTION("""COMPUTED_VALUE"""),"")</f>
        <v/>
      </c>
      <c r="M314" s="29" t="str">
        <f ca="1">IFERROR(__xludf.DUMMYFUNCTION("""COMPUTED_VALUE"""),"")</f>
        <v/>
      </c>
      <c r="N314" s="29" t="str">
        <f ca="1">IFERROR(__xludf.DUMMYFUNCTION("""COMPUTED_VALUE"""),"")</f>
        <v/>
      </c>
    </row>
    <row r="315" spans="2:14" ht="12.5">
      <c r="B315" s="2"/>
      <c r="C315" s="2" t="str">
        <f ca="1">IFERROR(__xludf.DUMMYFUNCTION("""COMPUTED_VALUE"""),"")</f>
        <v/>
      </c>
      <c r="D315" s="2" t="str">
        <f ca="1">IFERROR(__xludf.DUMMYFUNCTION("""COMPUTED_VALUE"""),"")</f>
        <v/>
      </c>
      <c r="E315" s="29" t="str">
        <f ca="1">IFERROR(__xludf.DUMMYFUNCTION("""COMPUTED_VALUE"""),"")</f>
        <v/>
      </c>
      <c r="F315" s="30" t="str">
        <f ca="1">IFERROR(__xludf.DUMMYFUNCTION("""COMPUTED_VALUE"""),"")</f>
        <v/>
      </c>
      <c r="G315" s="29" t="str">
        <f ca="1">IFERROR(__xludf.DUMMYFUNCTION("""COMPUTED_VALUE"""),"")</f>
        <v/>
      </c>
      <c r="H315" s="30" t="str">
        <f ca="1">IFERROR(__xludf.DUMMYFUNCTION("""COMPUTED_VALUE"""),"")</f>
        <v/>
      </c>
      <c r="I315" s="29" t="str">
        <f ca="1">IFERROR(__xludf.DUMMYFUNCTION("""COMPUTED_VALUE"""),"")</f>
        <v/>
      </c>
      <c r="J315" s="29" t="str">
        <f ca="1">IFERROR(__xludf.DUMMYFUNCTION("""COMPUTED_VALUE"""),"")</f>
        <v/>
      </c>
      <c r="K315" s="29" t="str">
        <f ca="1">IFERROR(__xludf.DUMMYFUNCTION("""COMPUTED_VALUE"""),"")</f>
        <v/>
      </c>
      <c r="L315" s="29" t="str">
        <f ca="1">IFERROR(__xludf.DUMMYFUNCTION("""COMPUTED_VALUE"""),"")</f>
        <v/>
      </c>
      <c r="M315" s="29" t="str">
        <f ca="1">IFERROR(__xludf.DUMMYFUNCTION("""COMPUTED_VALUE"""),"")</f>
        <v/>
      </c>
      <c r="N315" s="29" t="str">
        <f ca="1">IFERROR(__xludf.DUMMYFUNCTION("""COMPUTED_VALUE"""),"")</f>
        <v/>
      </c>
    </row>
    <row r="316" spans="2:14" ht="12.5">
      <c r="B316" s="2"/>
      <c r="C316" s="2" t="str">
        <f ca="1">IFERROR(__xludf.DUMMYFUNCTION("""COMPUTED_VALUE"""),"")</f>
        <v/>
      </c>
      <c r="D316" s="2" t="str">
        <f ca="1">IFERROR(__xludf.DUMMYFUNCTION("""COMPUTED_VALUE"""),"")</f>
        <v/>
      </c>
      <c r="E316" s="29" t="str">
        <f ca="1">IFERROR(__xludf.DUMMYFUNCTION("""COMPUTED_VALUE"""),"")</f>
        <v/>
      </c>
      <c r="F316" s="30" t="str">
        <f ca="1">IFERROR(__xludf.DUMMYFUNCTION("""COMPUTED_VALUE"""),"")</f>
        <v/>
      </c>
      <c r="G316" s="29" t="str">
        <f ca="1">IFERROR(__xludf.DUMMYFUNCTION("""COMPUTED_VALUE"""),"")</f>
        <v/>
      </c>
      <c r="H316" s="30" t="str">
        <f ca="1">IFERROR(__xludf.DUMMYFUNCTION("""COMPUTED_VALUE"""),"")</f>
        <v/>
      </c>
      <c r="I316" s="29" t="str">
        <f ca="1">IFERROR(__xludf.DUMMYFUNCTION("""COMPUTED_VALUE"""),"")</f>
        <v/>
      </c>
      <c r="J316" s="29" t="str">
        <f ca="1">IFERROR(__xludf.DUMMYFUNCTION("""COMPUTED_VALUE"""),"")</f>
        <v/>
      </c>
      <c r="K316" s="29" t="str">
        <f ca="1">IFERROR(__xludf.DUMMYFUNCTION("""COMPUTED_VALUE"""),"")</f>
        <v/>
      </c>
      <c r="L316" s="29" t="str">
        <f ca="1">IFERROR(__xludf.DUMMYFUNCTION("""COMPUTED_VALUE"""),"")</f>
        <v/>
      </c>
      <c r="M316" s="29" t="str">
        <f ca="1">IFERROR(__xludf.DUMMYFUNCTION("""COMPUTED_VALUE"""),"")</f>
        <v/>
      </c>
      <c r="N316" s="29" t="str">
        <f ca="1">IFERROR(__xludf.DUMMYFUNCTION("""COMPUTED_VALUE"""),"")</f>
        <v/>
      </c>
    </row>
    <row r="317" spans="2:14" ht="12.5">
      <c r="B317" s="2"/>
      <c r="C317" s="2" t="str">
        <f ca="1">IFERROR(__xludf.DUMMYFUNCTION("""COMPUTED_VALUE"""),"")</f>
        <v/>
      </c>
      <c r="D317" s="2" t="str">
        <f ca="1">IFERROR(__xludf.DUMMYFUNCTION("""COMPUTED_VALUE"""),"")</f>
        <v/>
      </c>
      <c r="E317" s="29" t="str">
        <f ca="1">IFERROR(__xludf.DUMMYFUNCTION("""COMPUTED_VALUE"""),"")</f>
        <v/>
      </c>
      <c r="F317" s="30" t="str">
        <f ca="1">IFERROR(__xludf.DUMMYFUNCTION("""COMPUTED_VALUE"""),"")</f>
        <v/>
      </c>
      <c r="G317" s="29" t="str">
        <f ca="1">IFERROR(__xludf.DUMMYFUNCTION("""COMPUTED_VALUE"""),"")</f>
        <v/>
      </c>
      <c r="H317" s="30" t="str">
        <f ca="1">IFERROR(__xludf.DUMMYFUNCTION("""COMPUTED_VALUE"""),"")</f>
        <v/>
      </c>
      <c r="I317" s="29" t="str">
        <f ca="1">IFERROR(__xludf.DUMMYFUNCTION("""COMPUTED_VALUE"""),"")</f>
        <v/>
      </c>
      <c r="J317" s="29" t="str">
        <f ca="1">IFERROR(__xludf.DUMMYFUNCTION("""COMPUTED_VALUE"""),"")</f>
        <v/>
      </c>
      <c r="K317" s="29" t="str">
        <f ca="1">IFERROR(__xludf.DUMMYFUNCTION("""COMPUTED_VALUE"""),"")</f>
        <v/>
      </c>
      <c r="L317" s="29" t="str">
        <f ca="1">IFERROR(__xludf.DUMMYFUNCTION("""COMPUTED_VALUE"""),"")</f>
        <v/>
      </c>
      <c r="M317" s="29" t="str">
        <f ca="1">IFERROR(__xludf.DUMMYFUNCTION("""COMPUTED_VALUE"""),"")</f>
        <v/>
      </c>
      <c r="N317" s="29" t="str">
        <f ca="1">IFERROR(__xludf.DUMMYFUNCTION("""COMPUTED_VALUE"""),"")</f>
        <v/>
      </c>
    </row>
    <row r="318" spans="2:14" ht="12.5">
      <c r="B318" s="2"/>
      <c r="C318" s="2" t="str">
        <f ca="1">IFERROR(__xludf.DUMMYFUNCTION("""COMPUTED_VALUE"""),"")</f>
        <v/>
      </c>
      <c r="D318" s="2" t="str">
        <f ca="1">IFERROR(__xludf.DUMMYFUNCTION("""COMPUTED_VALUE"""),"")</f>
        <v/>
      </c>
      <c r="E318" s="29" t="str">
        <f ca="1">IFERROR(__xludf.DUMMYFUNCTION("""COMPUTED_VALUE"""),"")</f>
        <v/>
      </c>
      <c r="F318" s="30" t="str">
        <f ca="1">IFERROR(__xludf.DUMMYFUNCTION("""COMPUTED_VALUE"""),"")</f>
        <v/>
      </c>
      <c r="G318" s="29" t="str">
        <f ca="1">IFERROR(__xludf.DUMMYFUNCTION("""COMPUTED_VALUE"""),"")</f>
        <v/>
      </c>
      <c r="H318" s="30" t="str">
        <f ca="1">IFERROR(__xludf.DUMMYFUNCTION("""COMPUTED_VALUE"""),"")</f>
        <v/>
      </c>
      <c r="I318" s="29" t="str">
        <f ca="1">IFERROR(__xludf.DUMMYFUNCTION("""COMPUTED_VALUE"""),"")</f>
        <v/>
      </c>
      <c r="J318" s="29" t="str">
        <f ca="1">IFERROR(__xludf.DUMMYFUNCTION("""COMPUTED_VALUE"""),"")</f>
        <v/>
      </c>
      <c r="K318" s="29" t="str">
        <f ca="1">IFERROR(__xludf.DUMMYFUNCTION("""COMPUTED_VALUE"""),"")</f>
        <v/>
      </c>
      <c r="L318" s="29" t="str">
        <f ca="1">IFERROR(__xludf.DUMMYFUNCTION("""COMPUTED_VALUE"""),"")</f>
        <v/>
      </c>
      <c r="M318" s="29" t="str">
        <f ca="1">IFERROR(__xludf.DUMMYFUNCTION("""COMPUTED_VALUE"""),"")</f>
        <v/>
      </c>
      <c r="N318" s="29" t="str">
        <f ca="1">IFERROR(__xludf.DUMMYFUNCTION("""COMPUTED_VALUE"""),"")</f>
        <v/>
      </c>
    </row>
    <row r="319" spans="2:14" ht="12.5">
      <c r="B319" s="2"/>
      <c r="C319" s="2" t="str">
        <f ca="1">IFERROR(__xludf.DUMMYFUNCTION("""COMPUTED_VALUE"""),"")</f>
        <v/>
      </c>
      <c r="D319" s="2" t="str">
        <f ca="1">IFERROR(__xludf.DUMMYFUNCTION("""COMPUTED_VALUE"""),"")</f>
        <v/>
      </c>
      <c r="E319" s="29" t="str">
        <f ca="1">IFERROR(__xludf.DUMMYFUNCTION("""COMPUTED_VALUE"""),"")</f>
        <v/>
      </c>
      <c r="F319" s="30" t="str">
        <f ca="1">IFERROR(__xludf.DUMMYFUNCTION("""COMPUTED_VALUE"""),"")</f>
        <v/>
      </c>
      <c r="G319" s="29" t="str">
        <f ca="1">IFERROR(__xludf.DUMMYFUNCTION("""COMPUTED_VALUE"""),"")</f>
        <v/>
      </c>
      <c r="H319" s="30" t="str">
        <f ca="1">IFERROR(__xludf.DUMMYFUNCTION("""COMPUTED_VALUE"""),"")</f>
        <v/>
      </c>
      <c r="I319" s="29" t="str">
        <f ca="1">IFERROR(__xludf.DUMMYFUNCTION("""COMPUTED_VALUE"""),"")</f>
        <v/>
      </c>
      <c r="J319" s="29" t="str">
        <f ca="1">IFERROR(__xludf.DUMMYFUNCTION("""COMPUTED_VALUE"""),"")</f>
        <v/>
      </c>
      <c r="K319" s="29" t="str">
        <f ca="1">IFERROR(__xludf.DUMMYFUNCTION("""COMPUTED_VALUE"""),"")</f>
        <v/>
      </c>
      <c r="L319" s="29" t="str">
        <f ca="1">IFERROR(__xludf.DUMMYFUNCTION("""COMPUTED_VALUE"""),"")</f>
        <v/>
      </c>
      <c r="M319" s="29" t="str">
        <f ca="1">IFERROR(__xludf.DUMMYFUNCTION("""COMPUTED_VALUE"""),"")</f>
        <v/>
      </c>
      <c r="N319" s="29" t="str">
        <f ca="1">IFERROR(__xludf.DUMMYFUNCTION("""COMPUTED_VALUE"""),"")</f>
        <v/>
      </c>
    </row>
    <row r="320" spans="2:14" ht="12.5">
      <c r="B320" s="2"/>
      <c r="C320" s="2" t="str">
        <f ca="1">IFERROR(__xludf.DUMMYFUNCTION("""COMPUTED_VALUE"""),"")</f>
        <v/>
      </c>
      <c r="D320" s="2" t="str">
        <f ca="1">IFERROR(__xludf.DUMMYFUNCTION("""COMPUTED_VALUE"""),"")</f>
        <v/>
      </c>
      <c r="E320" s="29" t="str">
        <f ca="1">IFERROR(__xludf.DUMMYFUNCTION("""COMPUTED_VALUE"""),"")</f>
        <v/>
      </c>
      <c r="F320" s="30" t="str">
        <f ca="1">IFERROR(__xludf.DUMMYFUNCTION("""COMPUTED_VALUE"""),"")</f>
        <v/>
      </c>
      <c r="G320" s="29" t="str">
        <f ca="1">IFERROR(__xludf.DUMMYFUNCTION("""COMPUTED_VALUE"""),"")</f>
        <v/>
      </c>
      <c r="H320" s="30" t="str">
        <f ca="1">IFERROR(__xludf.DUMMYFUNCTION("""COMPUTED_VALUE"""),"")</f>
        <v/>
      </c>
      <c r="I320" s="29" t="str">
        <f ca="1">IFERROR(__xludf.DUMMYFUNCTION("""COMPUTED_VALUE"""),"")</f>
        <v/>
      </c>
      <c r="J320" s="29" t="str">
        <f ca="1">IFERROR(__xludf.DUMMYFUNCTION("""COMPUTED_VALUE"""),"")</f>
        <v/>
      </c>
      <c r="K320" s="29" t="str">
        <f ca="1">IFERROR(__xludf.DUMMYFUNCTION("""COMPUTED_VALUE"""),"")</f>
        <v/>
      </c>
      <c r="L320" s="29" t="str">
        <f ca="1">IFERROR(__xludf.DUMMYFUNCTION("""COMPUTED_VALUE"""),"")</f>
        <v/>
      </c>
      <c r="M320" s="29" t="str">
        <f ca="1">IFERROR(__xludf.DUMMYFUNCTION("""COMPUTED_VALUE"""),"")</f>
        <v/>
      </c>
      <c r="N320" s="29" t="str">
        <f ca="1">IFERROR(__xludf.DUMMYFUNCTION("""COMPUTED_VALUE"""),"")</f>
        <v/>
      </c>
    </row>
    <row r="321" spans="2:14" ht="12.5">
      <c r="B321" s="2"/>
      <c r="C321" s="2" t="str">
        <f ca="1">IFERROR(__xludf.DUMMYFUNCTION("""COMPUTED_VALUE"""),"")</f>
        <v/>
      </c>
      <c r="D321" s="2" t="str">
        <f ca="1">IFERROR(__xludf.DUMMYFUNCTION("""COMPUTED_VALUE"""),"")</f>
        <v/>
      </c>
      <c r="E321" s="29" t="str">
        <f ca="1">IFERROR(__xludf.DUMMYFUNCTION("""COMPUTED_VALUE"""),"")</f>
        <v/>
      </c>
      <c r="F321" s="30" t="str">
        <f ca="1">IFERROR(__xludf.DUMMYFUNCTION("""COMPUTED_VALUE"""),"")</f>
        <v/>
      </c>
      <c r="G321" s="29" t="str">
        <f ca="1">IFERROR(__xludf.DUMMYFUNCTION("""COMPUTED_VALUE"""),"")</f>
        <v/>
      </c>
      <c r="H321" s="30" t="str">
        <f ca="1">IFERROR(__xludf.DUMMYFUNCTION("""COMPUTED_VALUE"""),"")</f>
        <v/>
      </c>
      <c r="I321" s="29" t="str">
        <f ca="1">IFERROR(__xludf.DUMMYFUNCTION("""COMPUTED_VALUE"""),"")</f>
        <v/>
      </c>
      <c r="J321" s="29" t="str">
        <f ca="1">IFERROR(__xludf.DUMMYFUNCTION("""COMPUTED_VALUE"""),"")</f>
        <v/>
      </c>
      <c r="K321" s="29" t="str">
        <f ca="1">IFERROR(__xludf.DUMMYFUNCTION("""COMPUTED_VALUE"""),"")</f>
        <v/>
      </c>
      <c r="L321" s="29" t="str">
        <f ca="1">IFERROR(__xludf.DUMMYFUNCTION("""COMPUTED_VALUE"""),"")</f>
        <v/>
      </c>
      <c r="M321" s="29" t="str">
        <f ca="1">IFERROR(__xludf.DUMMYFUNCTION("""COMPUTED_VALUE"""),"")</f>
        <v/>
      </c>
      <c r="N321" s="29" t="str">
        <f ca="1">IFERROR(__xludf.DUMMYFUNCTION("""COMPUTED_VALUE"""),"")</f>
        <v/>
      </c>
    </row>
    <row r="322" spans="2:14" ht="12.5">
      <c r="B322" s="2"/>
      <c r="C322" s="2" t="str">
        <f ca="1">IFERROR(__xludf.DUMMYFUNCTION("""COMPUTED_VALUE"""),"")</f>
        <v/>
      </c>
      <c r="D322" s="2" t="str">
        <f ca="1">IFERROR(__xludf.DUMMYFUNCTION("""COMPUTED_VALUE"""),"")</f>
        <v/>
      </c>
      <c r="E322" s="29" t="str">
        <f ca="1">IFERROR(__xludf.DUMMYFUNCTION("""COMPUTED_VALUE"""),"")</f>
        <v/>
      </c>
      <c r="F322" s="30" t="str">
        <f ca="1">IFERROR(__xludf.DUMMYFUNCTION("""COMPUTED_VALUE"""),"")</f>
        <v/>
      </c>
      <c r="G322" s="29" t="str">
        <f ca="1">IFERROR(__xludf.DUMMYFUNCTION("""COMPUTED_VALUE"""),"")</f>
        <v/>
      </c>
      <c r="H322" s="30" t="str">
        <f ca="1">IFERROR(__xludf.DUMMYFUNCTION("""COMPUTED_VALUE"""),"")</f>
        <v/>
      </c>
      <c r="I322" s="29" t="str">
        <f ca="1">IFERROR(__xludf.DUMMYFUNCTION("""COMPUTED_VALUE"""),"")</f>
        <v/>
      </c>
      <c r="J322" s="29" t="str">
        <f ca="1">IFERROR(__xludf.DUMMYFUNCTION("""COMPUTED_VALUE"""),"")</f>
        <v/>
      </c>
      <c r="K322" s="29" t="str">
        <f ca="1">IFERROR(__xludf.DUMMYFUNCTION("""COMPUTED_VALUE"""),"")</f>
        <v/>
      </c>
      <c r="L322" s="29" t="str">
        <f ca="1">IFERROR(__xludf.DUMMYFUNCTION("""COMPUTED_VALUE"""),"")</f>
        <v/>
      </c>
      <c r="M322" s="29" t="str">
        <f ca="1">IFERROR(__xludf.DUMMYFUNCTION("""COMPUTED_VALUE"""),"")</f>
        <v/>
      </c>
      <c r="N322" s="29" t="str">
        <f ca="1">IFERROR(__xludf.DUMMYFUNCTION("""COMPUTED_VALUE"""),"")</f>
        <v/>
      </c>
    </row>
    <row r="323" spans="2:14" ht="12.5">
      <c r="B323" s="2"/>
      <c r="C323" s="2" t="str">
        <f ca="1">IFERROR(__xludf.DUMMYFUNCTION("""COMPUTED_VALUE"""),"")</f>
        <v/>
      </c>
      <c r="D323" s="2" t="str">
        <f ca="1">IFERROR(__xludf.DUMMYFUNCTION("""COMPUTED_VALUE"""),"")</f>
        <v/>
      </c>
      <c r="E323" s="29" t="str">
        <f ca="1">IFERROR(__xludf.DUMMYFUNCTION("""COMPUTED_VALUE"""),"")</f>
        <v/>
      </c>
      <c r="F323" s="30" t="str">
        <f ca="1">IFERROR(__xludf.DUMMYFUNCTION("""COMPUTED_VALUE"""),"")</f>
        <v/>
      </c>
      <c r="G323" s="29" t="str">
        <f ca="1">IFERROR(__xludf.DUMMYFUNCTION("""COMPUTED_VALUE"""),"")</f>
        <v/>
      </c>
      <c r="H323" s="30" t="str">
        <f ca="1">IFERROR(__xludf.DUMMYFUNCTION("""COMPUTED_VALUE"""),"")</f>
        <v/>
      </c>
      <c r="I323" s="29" t="str">
        <f ca="1">IFERROR(__xludf.DUMMYFUNCTION("""COMPUTED_VALUE"""),"")</f>
        <v/>
      </c>
      <c r="J323" s="29" t="str">
        <f ca="1">IFERROR(__xludf.DUMMYFUNCTION("""COMPUTED_VALUE"""),"")</f>
        <v/>
      </c>
      <c r="K323" s="29" t="str">
        <f ca="1">IFERROR(__xludf.DUMMYFUNCTION("""COMPUTED_VALUE"""),"")</f>
        <v/>
      </c>
      <c r="L323" s="29" t="str">
        <f ca="1">IFERROR(__xludf.DUMMYFUNCTION("""COMPUTED_VALUE"""),"")</f>
        <v/>
      </c>
      <c r="M323" s="29" t="str">
        <f ca="1">IFERROR(__xludf.DUMMYFUNCTION("""COMPUTED_VALUE"""),"")</f>
        <v/>
      </c>
      <c r="N323" s="29" t="str">
        <f ca="1">IFERROR(__xludf.DUMMYFUNCTION("""COMPUTED_VALUE"""),"")</f>
        <v/>
      </c>
    </row>
    <row r="324" spans="2:14" ht="12.5">
      <c r="B324" s="2"/>
      <c r="C324" s="2" t="str">
        <f ca="1">IFERROR(__xludf.DUMMYFUNCTION("""COMPUTED_VALUE"""),"")</f>
        <v/>
      </c>
      <c r="D324" s="2" t="str">
        <f ca="1">IFERROR(__xludf.DUMMYFUNCTION("""COMPUTED_VALUE"""),"")</f>
        <v/>
      </c>
      <c r="E324" s="29" t="str">
        <f ca="1">IFERROR(__xludf.DUMMYFUNCTION("""COMPUTED_VALUE"""),"")</f>
        <v/>
      </c>
      <c r="F324" s="30" t="str">
        <f ca="1">IFERROR(__xludf.DUMMYFUNCTION("""COMPUTED_VALUE"""),"")</f>
        <v/>
      </c>
      <c r="G324" s="29" t="str">
        <f ca="1">IFERROR(__xludf.DUMMYFUNCTION("""COMPUTED_VALUE"""),"")</f>
        <v/>
      </c>
      <c r="H324" s="30" t="str">
        <f ca="1">IFERROR(__xludf.DUMMYFUNCTION("""COMPUTED_VALUE"""),"")</f>
        <v/>
      </c>
      <c r="I324" s="29" t="str">
        <f ca="1">IFERROR(__xludf.DUMMYFUNCTION("""COMPUTED_VALUE"""),"")</f>
        <v/>
      </c>
      <c r="J324" s="29" t="str">
        <f ca="1">IFERROR(__xludf.DUMMYFUNCTION("""COMPUTED_VALUE"""),"")</f>
        <v/>
      </c>
      <c r="K324" s="29" t="str">
        <f ca="1">IFERROR(__xludf.DUMMYFUNCTION("""COMPUTED_VALUE"""),"")</f>
        <v/>
      </c>
      <c r="L324" s="29" t="str">
        <f ca="1">IFERROR(__xludf.DUMMYFUNCTION("""COMPUTED_VALUE"""),"")</f>
        <v/>
      </c>
      <c r="M324" s="29" t="str">
        <f ca="1">IFERROR(__xludf.DUMMYFUNCTION("""COMPUTED_VALUE"""),"")</f>
        <v/>
      </c>
      <c r="N324" s="29" t="str">
        <f ca="1">IFERROR(__xludf.DUMMYFUNCTION("""COMPUTED_VALUE"""),"")</f>
        <v/>
      </c>
    </row>
    <row r="325" spans="2:14" ht="12.5">
      <c r="B325" s="2"/>
      <c r="C325" s="2" t="str">
        <f ca="1">IFERROR(__xludf.DUMMYFUNCTION("""COMPUTED_VALUE"""),"")</f>
        <v/>
      </c>
      <c r="D325" s="2" t="str">
        <f ca="1">IFERROR(__xludf.DUMMYFUNCTION("""COMPUTED_VALUE"""),"")</f>
        <v/>
      </c>
      <c r="E325" s="29" t="str">
        <f ca="1">IFERROR(__xludf.DUMMYFUNCTION("""COMPUTED_VALUE"""),"")</f>
        <v/>
      </c>
      <c r="F325" s="30" t="str">
        <f ca="1">IFERROR(__xludf.DUMMYFUNCTION("""COMPUTED_VALUE"""),"")</f>
        <v/>
      </c>
      <c r="G325" s="29" t="str">
        <f ca="1">IFERROR(__xludf.DUMMYFUNCTION("""COMPUTED_VALUE"""),"")</f>
        <v/>
      </c>
      <c r="H325" s="30" t="str">
        <f ca="1">IFERROR(__xludf.DUMMYFUNCTION("""COMPUTED_VALUE"""),"")</f>
        <v/>
      </c>
      <c r="I325" s="29" t="str">
        <f ca="1">IFERROR(__xludf.DUMMYFUNCTION("""COMPUTED_VALUE"""),"")</f>
        <v/>
      </c>
      <c r="J325" s="29" t="str">
        <f ca="1">IFERROR(__xludf.DUMMYFUNCTION("""COMPUTED_VALUE"""),"")</f>
        <v/>
      </c>
      <c r="K325" s="29" t="str">
        <f ca="1">IFERROR(__xludf.DUMMYFUNCTION("""COMPUTED_VALUE"""),"")</f>
        <v/>
      </c>
      <c r="L325" s="29" t="str">
        <f ca="1">IFERROR(__xludf.DUMMYFUNCTION("""COMPUTED_VALUE"""),"")</f>
        <v/>
      </c>
      <c r="M325" s="29" t="str">
        <f ca="1">IFERROR(__xludf.DUMMYFUNCTION("""COMPUTED_VALUE"""),"")</f>
        <v/>
      </c>
      <c r="N325" s="29" t="str">
        <f ca="1">IFERROR(__xludf.DUMMYFUNCTION("""COMPUTED_VALUE"""),"")</f>
        <v/>
      </c>
    </row>
    <row r="326" spans="2:14" ht="12.5">
      <c r="B326" s="2"/>
      <c r="C326" s="2" t="str">
        <f ca="1">IFERROR(__xludf.DUMMYFUNCTION("""COMPUTED_VALUE"""),"")</f>
        <v/>
      </c>
      <c r="D326" s="2" t="str">
        <f ca="1">IFERROR(__xludf.DUMMYFUNCTION("""COMPUTED_VALUE"""),"")</f>
        <v/>
      </c>
      <c r="E326" s="29" t="str">
        <f ca="1">IFERROR(__xludf.DUMMYFUNCTION("""COMPUTED_VALUE"""),"")</f>
        <v/>
      </c>
      <c r="F326" s="30" t="str">
        <f ca="1">IFERROR(__xludf.DUMMYFUNCTION("""COMPUTED_VALUE"""),"")</f>
        <v/>
      </c>
      <c r="G326" s="29" t="str">
        <f ca="1">IFERROR(__xludf.DUMMYFUNCTION("""COMPUTED_VALUE"""),"")</f>
        <v/>
      </c>
      <c r="H326" s="30" t="str">
        <f ca="1">IFERROR(__xludf.DUMMYFUNCTION("""COMPUTED_VALUE"""),"")</f>
        <v/>
      </c>
      <c r="I326" s="29" t="str">
        <f ca="1">IFERROR(__xludf.DUMMYFUNCTION("""COMPUTED_VALUE"""),"")</f>
        <v/>
      </c>
      <c r="J326" s="29" t="str">
        <f ca="1">IFERROR(__xludf.DUMMYFUNCTION("""COMPUTED_VALUE"""),"")</f>
        <v/>
      </c>
      <c r="K326" s="29" t="str">
        <f ca="1">IFERROR(__xludf.DUMMYFUNCTION("""COMPUTED_VALUE"""),"")</f>
        <v/>
      </c>
      <c r="L326" s="29" t="str">
        <f ca="1">IFERROR(__xludf.DUMMYFUNCTION("""COMPUTED_VALUE"""),"")</f>
        <v/>
      </c>
      <c r="M326" s="29" t="str">
        <f ca="1">IFERROR(__xludf.DUMMYFUNCTION("""COMPUTED_VALUE"""),"")</f>
        <v/>
      </c>
      <c r="N326" s="29" t="str">
        <f ca="1">IFERROR(__xludf.DUMMYFUNCTION("""COMPUTED_VALUE"""),"")</f>
        <v/>
      </c>
    </row>
    <row r="327" spans="2:14" ht="12.5">
      <c r="B327" s="2"/>
      <c r="C327" s="2" t="str">
        <f ca="1">IFERROR(__xludf.DUMMYFUNCTION("""COMPUTED_VALUE"""),"")</f>
        <v/>
      </c>
      <c r="D327" s="2" t="str">
        <f ca="1">IFERROR(__xludf.DUMMYFUNCTION("""COMPUTED_VALUE"""),"")</f>
        <v/>
      </c>
      <c r="E327" s="29" t="str">
        <f ca="1">IFERROR(__xludf.DUMMYFUNCTION("""COMPUTED_VALUE"""),"")</f>
        <v/>
      </c>
      <c r="F327" s="30" t="str">
        <f ca="1">IFERROR(__xludf.DUMMYFUNCTION("""COMPUTED_VALUE"""),"")</f>
        <v/>
      </c>
      <c r="G327" s="29" t="str">
        <f ca="1">IFERROR(__xludf.DUMMYFUNCTION("""COMPUTED_VALUE"""),"")</f>
        <v/>
      </c>
      <c r="H327" s="30" t="str">
        <f ca="1">IFERROR(__xludf.DUMMYFUNCTION("""COMPUTED_VALUE"""),"")</f>
        <v/>
      </c>
      <c r="I327" s="29" t="str">
        <f ca="1">IFERROR(__xludf.DUMMYFUNCTION("""COMPUTED_VALUE"""),"")</f>
        <v/>
      </c>
      <c r="J327" s="29" t="str">
        <f ca="1">IFERROR(__xludf.DUMMYFUNCTION("""COMPUTED_VALUE"""),"")</f>
        <v/>
      </c>
      <c r="K327" s="29" t="str">
        <f ca="1">IFERROR(__xludf.DUMMYFUNCTION("""COMPUTED_VALUE"""),"")</f>
        <v/>
      </c>
      <c r="L327" s="29" t="str">
        <f ca="1">IFERROR(__xludf.DUMMYFUNCTION("""COMPUTED_VALUE"""),"")</f>
        <v/>
      </c>
      <c r="M327" s="29" t="str">
        <f ca="1">IFERROR(__xludf.DUMMYFUNCTION("""COMPUTED_VALUE"""),"")</f>
        <v/>
      </c>
      <c r="N327" s="29" t="str">
        <f ca="1">IFERROR(__xludf.DUMMYFUNCTION("""COMPUTED_VALUE"""),"")</f>
        <v/>
      </c>
    </row>
    <row r="328" spans="2:14" ht="12.5">
      <c r="B328" s="2"/>
      <c r="C328" s="2" t="str">
        <f ca="1">IFERROR(__xludf.DUMMYFUNCTION("""COMPUTED_VALUE"""),"")</f>
        <v/>
      </c>
      <c r="D328" s="2" t="str">
        <f ca="1">IFERROR(__xludf.DUMMYFUNCTION("""COMPUTED_VALUE"""),"")</f>
        <v/>
      </c>
      <c r="E328" s="29" t="str">
        <f ca="1">IFERROR(__xludf.DUMMYFUNCTION("""COMPUTED_VALUE"""),"")</f>
        <v/>
      </c>
      <c r="F328" s="30" t="str">
        <f ca="1">IFERROR(__xludf.DUMMYFUNCTION("""COMPUTED_VALUE"""),"")</f>
        <v/>
      </c>
      <c r="G328" s="29" t="str">
        <f ca="1">IFERROR(__xludf.DUMMYFUNCTION("""COMPUTED_VALUE"""),"")</f>
        <v/>
      </c>
      <c r="H328" s="30" t="str">
        <f ca="1">IFERROR(__xludf.DUMMYFUNCTION("""COMPUTED_VALUE"""),"")</f>
        <v/>
      </c>
      <c r="I328" s="29" t="str">
        <f ca="1">IFERROR(__xludf.DUMMYFUNCTION("""COMPUTED_VALUE"""),"")</f>
        <v/>
      </c>
      <c r="J328" s="29" t="str">
        <f ca="1">IFERROR(__xludf.DUMMYFUNCTION("""COMPUTED_VALUE"""),"")</f>
        <v/>
      </c>
      <c r="K328" s="29" t="str">
        <f ca="1">IFERROR(__xludf.DUMMYFUNCTION("""COMPUTED_VALUE"""),"")</f>
        <v/>
      </c>
      <c r="L328" s="29" t="str">
        <f ca="1">IFERROR(__xludf.DUMMYFUNCTION("""COMPUTED_VALUE"""),"")</f>
        <v/>
      </c>
      <c r="M328" s="29" t="str">
        <f ca="1">IFERROR(__xludf.DUMMYFUNCTION("""COMPUTED_VALUE"""),"")</f>
        <v/>
      </c>
      <c r="N328" s="29" t="str">
        <f ca="1">IFERROR(__xludf.DUMMYFUNCTION("""COMPUTED_VALUE"""),"")</f>
        <v/>
      </c>
    </row>
    <row r="329" spans="2:14" ht="12.5">
      <c r="B329" s="2"/>
      <c r="C329" s="2" t="str">
        <f ca="1">IFERROR(__xludf.DUMMYFUNCTION("""COMPUTED_VALUE"""),"")</f>
        <v/>
      </c>
      <c r="D329" s="2" t="str">
        <f ca="1">IFERROR(__xludf.DUMMYFUNCTION("""COMPUTED_VALUE"""),"")</f>
        <v/>
      </c>
      <c r="E329" s="29" t="str">
        <f ca="1">IFERROR(__xludf.DUMMYFUNCTION("""COMPUTED_VALUE"""),"")</f>
        <v/>
      </c>
      <c r="F329" s="30" t="str">
        <f ca="1">IFERROR(__xludf.DUMMYFUNCTION("""COMPUTED_VALUE"""),"")</f>
        <v/>
      </c>
      <c r="G329" s="29" t="str">
        <f ca="1">IFERROR(__xludf.DUMMYFUNCTION("""COMPUTED_VALUE"""),"")</f>
        <v/>
      </c>
      <c r="H329" s="30" t="str">
        <f ca="1">IFERROR(__xludf.DUMMYFUNCTION("""COMPUTED_VALUE"""),"")</f>
        <v/>
      </c>
      <c r="I329" s="29" t="str">
        <f ca="1">IFERROR(__xludf.DUMMYFUNCTION("""COMPUTED_VALUE"""),"")</f>
        <v/>
      </c>
      <c r="J329" s="29" t="str">
        <f ca="1">IFERROR(__xludf.DUMMYFUNCTION("""COMPUTED_VALUE"""),"")</f>
        <v/>
      </c>
      <c r="K329" s="29" t="str">
        <f ca="1">IFERROR(__xludf.DUMMYFUNCTION("""COMPUTED_VALUE"""),"")</f>
        <v/>
      </c>
      <c r="L329" s="29" t="str">
        <f ca="1">IFERROR(__xludf.DUMMYFUNCTION("""COMPUTED_VALUE"""),"")</f>
        <v/>
      </c>
      <c r="M329" s="29" t="str">
        <f ca="1">IFERROR(__xludf.DUMMYFUNCTION("""COMPUTED_VALUE"""),"")</f>
        <v/>
      </c>
      <c r="N329" s="29" t="str">
        <f ca="1">IFERROR(__xludf.DUMMYFUNCTION("""COMPUTED_VALUE"""),"")</f>
        <v/>
      </c>
    </row>
    <row r="330" spans="2:14" ht="12.5">
      <c r="B330" s="2"/>
      <c r="C330" s="2" t="str">
        <f ca="1">IFERROR(__xludf.DUMMYFUNCTION("""COMPUTED_VALUE"""),"")</f>
        <v/>
      </c>
      <c r="D330" s="2" t="str">
        <f ca="1">IFERROR(__xludf.DUMMYFUNCTION("""COMPUTED_VALUE"""),"")</f>
        <v/>
      </c>
      <c r="E330" s="29" t="str">
        <f ca="1">IFERROR(__xludf.DUMMYFUNCTION("""COMPUTED_VALUE"""),"")</f>
        <v/>
      </c>
      <c r="F330" s="30" t="str">
        <f ca="1">IFERROR(__xludf.DUMMYFUNCTION("""COMPUTED_VALUE"""),"")</f>
        <v/>
      </c>
      <c r="G330" s="29" t="str">
        <f ca="1">IFERROR(__xludf.DUMMYFUNCTION("""COMPUTED_VALUE"""),"")</f>
        <v/>
      </c>
      <c r="H330" s="30" t="str">
        <f ca="1">IFERROR(__xludf.DUMMYFUNCTION("""COMPUTED_VALUE"""),"")</f>
        <v/>
      </c>
      <c r="I330" s="29" t="str">
        <f ca="1">IFERROR(__xludf.DUMMYFUNCTION("""COMPUTED_VALUE"""),"")</f>
        <v/>
      </c>
      <c r="J330" s="29" t="str">
        <f ca="1">IFERROR(__xludf.DUMMYFUNCTION("""COMPUTED_VALUE"""),"")</f>
        <v/>
      </c>
      <c r="K330" s="29" t="str">
        <f ca="1">IFERROR(__xludf.DUMMYFUNCTION("""COMPUTED_VALUE"""),"")</f>
        <v/>
      </c>
      <c r="L330" s="29" t="str">
        <f ca="1">IFERROR(__xludf.DUMMYFUNCTION("""COMPUTED_VALUE"""),"")</f>
        <v/>
      </c>
      <c r="M330" s="29" t="str">
        <f ca="1">IFERROR(__xludf.DUMMYFUNCTION("""COMPUTED_VALUE"""),"")</f>
        <v/>
      </c>
      <c r="N330" s="29" t="str">
        <f ca="1">IFERROR(__xludf.DUMMYFUNCTION("""COMPUTED_VALUE"""),"")</f>
        <v/>
      </c>
    </row>
    <row r="331" spans="2:14" ht="12.5">
      <c r="B331" s="2"/>
      <c r="C331" s="2" t="str">
        <f ca="1">IFERROR(__xludf.DUMMYFUNCTION("""COMPUTED_VALUE"""),"")</f>
        <v/>
      </c>
      <c r="D331" s="2" t="str">
        <f ca="1">IFERROR(__xludf.DUMMYFUNCTION("""COMPUTED_VALUE"""),"")</f>
        <v/>
      </c>
      <c r="E331" s="29" t="str">
        <f ca="1">IFERROR(__xludf.DUMMYFUNCTION("""COMPUTED_VALUE"""),"")</f>
        <v/>
      </c>
      <c r="F331" s="30" t="str">
        <f ca="1">IFERROR(__xludf.DUMMYFUNCTION("""COMPUTED_VALUE"""),"")</f>
        <v/>
      </c>
      <c r="G331" s="29" t="str">
        <f ca="1">IFERROR(__xludf.DUMMYFUNCTION("""COMPUTED_VALUE"""),"")</f>
        <v/>
      </c>
      <c r="H331" s="30" t="str">
        <f ca="1">IFERROR(__xludf.DUMMYFUNCTION("""COMPUTED_VALUE"""),"")</f>
        <v/>
      </c>
      <c r="I331" s="29" t="str">
        <f ca="1">IFERROR(__xludf.DUMMYFUNCTION("""COMPUTED_VALUE"""),"")</f>
        <v/>
      </c>
      <c r="J331" s="29" t="str">
        <f ca="1">IFERROR(__xludf.DUMMYFUNCTION("""COMPUTED_VALUE"""),"")</f>
        <v/>
      </c>
      <c r="K331" s="29" t="str">
        <f ca="1">IFERROR(__xludf.DUMMYFUNCTION("""COMPUTED_VALUE"""),"")</f>
        <v/>
      </c>
      <c r="L331" s="29" t="str">
        <f ca="1">IFERROR(__xludf.DUMMYFUNCTION("""COMPUTED_VALUE"""),"")</f>
        <v/>
      </c>
      <c r="M331" s="29" t="str">
        <f ca="1">IFERROR(__xludf.DUMMYFUNCTION("""COMPUTED_VALUE"""),"")</f>
        <v/>
      </c>
      <c r="N331" s="29" t="str">
        <f ca="1">IFERROR(__xludf.DUMMYFUNCTION("""COMPUTED_VALUE"""),"")</f>
        <v/>
      </c>
    </row>
    <row r="332" spans="2:14" ht="12.5">
      <c r="B332" s="2"/>
      <c r="C332" s="2" t="str">
        <f ca="1">IFERROR(__xludf.DUMMYFUNCTION("""COMPUTED_VALUE"""),"")</f>
        <v/>
      </c>
      <c r="D332" s="2" t="str">
        <f ca="1">IFERROR(__xludf.DUMMYFUNCTION("""COMPUTED_VALUE"""),"")</f>
        <v/>
      </c>
      <c r="E332" s="29" t="str">
        <f ca="1">IFERROR(__xludf.DUMMYFUNCTION("""COMPUTED_VALUE"""),"")</f>
        <v/>
      </c>
      <c r="F332" s="30" t="str">
        <f ca="1">IFERROR(__xludf.DUMMYFUNCTION("""COMPUTED_VALUE"""),"")</f>
        <v/>
      </c>
      <c r="G332" s="29" t="str">
        <f ca="1">IFERROR(__xludf.DUMMYFUNCTION("""COMPUTED_VALUE"""),"")</f>
        <v/>
      </c>
      <c r="H332" s="30" t="str">
        <f ca="1">IFERROR(__xludf.DUMMYFUNCTION("""COMPUTED_VALUE"""),"")</f>
        <v/>
      </c>
      <c r="I332" s="29" t="str">
        <f ca="1">IFERROR(__xludf.DUMMYFUNCTION("""COMPUTED_VALUE"""),"")</f>
        <v/>
      </c>
      <c r="J332" s="29" t="str">
        <f ca="1">IFERROR(__xludf.DUMMYFUNCTION("""COMPUTED_VALUE"""),"")</f>
        <v/>
      </c>
      <c r="K332" s="29" t="str">
        <f ca="1">IFERROR(__xludf.DUMMYFUNCTION("""COMPUTED_VALUE"""),"")</f>
        <v/>
      </c>
      <c r="L332" s="29" t="str">
        <f ca="1">IFERROR(__xludf.DUMMYFUNCTION("""COMPUTED_VALUE"""),"")</f>
        <v/>
      </c>
      <c r="M332" s="29" t="str">
        <f ca="1">IFERROR(__xludf.DUMMYFUNCTION("""COMPUTED_VALUE"""),"")</f>
        <v/>
      </c>
      <c r="N332" s="29" t="str">
        <f ca="1">IFERROR(__xludf.DUMMYFUNCTION("""COMPUTED_VALUE"""),"")</f>
        <v/>
      </c>
    </row>
    <row r="333" spans="2:14" ht="12.5">
      <c r="B333" s="2"/>
      <c r="C333" s="2" t="str">
        <f ca="1">IFERROR(__xludf.DUMMYFUNCTION("""COMPUTED_VALUE"""),"")</f>
        <v/>
      </c>
      <c r="D333" s="2" t="str">
        <f ca="1">IFERROR(__xludf.DUMMYFUNCTION("""COMPUTED_VALUE"""),"")</f>
        <v/>
      </c>
      <c r="E333" s="29" t="str">
        <f ca="1">IFERROR(__xludf.DUMMYFUNCTION("""COMPUTED_VALUE"""),"")</f>
        <v/>
      </c>
      <c r="F333" s="30" t="str">
        <f ca="1">IFERROR(__xludf.DUMMYFUNCTION("""COMPUTED_VALUE"""),"")</f>
        <v/>
      </c>
      <c r="G333" s="29" t="str">
        <f ca="1">IFERROR(__xludf.DUMMYFUNCTION("""COMPUTED_VALUE"""),"")</f>
        <v/>
      </c>
      <c r="H333" s="30" t="str">
        <f ca="1">IFERROR(__xludf.DUMMYFUNCTION("""COMPUTED_VALUE"""),"")</f>
        <v/>
      </c>
      <c r="I333" s="29" t="str">
        <f ca="1">IFERROR(__xludf.DUMMYFUNCTION("""COMPUTED_VALUE"""),"")</f>
        <v/>
      </c>
      <c r="J333" s="29" t="str">
        <f ca="1">IFERROR(__xludf.DUMMYFUNCTION("""COMPUTED_VALUE"""),"")</f>
        <v/>
      </c>
      <c r="K333" s="29" t="str">
        <f ca="1">IFERROR(__xludf.DUMMYFUNCTION("""COMPUTED_VALUE"""),"")</f>
        <v/>
      </c>
      <c r="L333" s="29" t="str">
        <f ca="1">IFERROR(__xludf.DUMMYFUNCTION("""COMPUTED_VALUE"""),"")</f>
        <v/>
      </c>
      <c r="M333" s="29" t="str">
        <f ca="1">IFERROR(__xludf.DUMMYFUNCTION("""COMPUTED_VALUE"""),"")</f>
        <v/>
      </c>
      <c r="N333" s="29" t="str">
        <f ca="1">IFERROR(__xludf.DUMMYFUNCTION("""COMPUTED_VALUE"""),"")</f>
        <v/>
      </c>
    </row>
    <row r="334" spans="2:14" ht="12.5">
      <c r="B334" s="2"/>
      <c r="C334" s="2" t="str">
        <f ca="1">IFERROR(__xludf.DUMMYFUNCTION("""COMPUTED_VALUE"""),"")</f>
        <v/>
      </c>
      <c r="D334" s="2" t="str">
        <f ca="1">IFERROR(__xludf.DUMMYFUNCTION("""COMPUTED_VALUE"""),"")</f>
        <v/>
      </c>
      <c r="E334" s="29" t="str">
        <f ca="1">IFERROR(__xludf.DUMMYFUNCTION("""COMPUTED_VALUE"""),"")</f>
        <v/>
      </c>
      <c r="F334" s="30" t="str">
        <f ca="1">IFERROR(__xludf.DUMMYFUNCTION("""COMPUTED_VALUE"""),"")</f>
        <v/>
      </c>
      <c r="G334" s="29" t="str">
        <f ca="1">IFERROR(__xludf.DUMMYFUNCTION("""COMPUTED_VALUE"""),"")</f>
        <v/>
      </c>
      <c r="H334" s="30" t="str">
        <f ca="1">IFERROR(__xludf.DUMMYFUNCTION("""COMPUTED_VALUE"""),"")</f>
        <v/>
      </c>
      <c r="I334" s="29" t="str">
        <f ca="1">IFERROR(__xludf.DUMMYFUNCTION("""COMPUTED_VALUE"""),"")</f>
        <v/>
      </c>
      <c r="J334" s="29" t="str">
        <f ca="1">IFERROR(__xludf.DUMMYFUNCTION("""COMPUTED_VALUE"""),"")</f>
        <v/>
      </c>
      <c r="K334" s="29" t="str">
        <f ca="1">IFERROR(__xludf.DUMMYFUNCTION("""COMPUTED_VALUE"""),"")</f>
        <v/>
      </c>
      <c r="L334" s="29" t="str">
        <f ca="1">IFERROR(__xludf.DUMMYFUNCTION("""COMPUTED_VALUE"""),"")</f>
        <v/>
      </c>
      <c r="M334" s="29" t="str">
        <f ca="1">IFERROR(__xludf.DUMMYFUNCTION("""COMPUTED_VALUE"""),"")</f>
        <v/>
      </c>
      <c r="N334" s="29" t="str">
        <f ca="1">IFERROR(__xludf.DUMMYFUNCTION("""COMPUTED_VALUE"""),"")</f>
        <v/>
      </c>
    </row>
    <row r="335" spans="2:14" ht="12.5">
      <c r="B335" s="2"/>
      <c r="C335" s="2" t="str">
        <f ca="1">IFERROR(__xludf.DUMMYFUNCTION("""COMPUTED_VALUE"""),"")</f>
        <v/>
      </c>
      <c r="D335" s="2" t="str">
        <f ca="1">IFERROR(__xludf.DUMMYFUNCTION("""COMPUTED_VALUE"""),"")</f>
        <v/>
      </c>
      <c r="E335" s="29" t="str">
        <f ca="1">IFERROR(__xludf.DUMMYFUNCTION("""COMPUTED_VALUE"""),"")</f>
        <v/>
      </c>
      <c r="F335" s="30" t="str">
        <f ca="1">IFERROR(__xludf.DUMMYFUNCTION("""COMPUTED_VALUE"""),"")</f>
        <v/>
      </c>
      <c r="G335" s="29" t="str">
        <f ca="1">IFERROR(__xludf.DUMMYFUNCTION("""COMPUTED_VALUE"""),"")</f>
        <v/>
      </c>
      <c r="H335" s="30" t="str">
        <f ca="1">IFERROR(__xludf.DUMMYFUNCTION("""COMPUTED_VALUE"""),"")</f>
        <v/>
      </c>
      <c r="I335" s="29" t="str">
        <f ca="1">IFERROR(__xludf.DUMMYFUNCTION("""COMPUTED_VALUE"""),"")</f>
        <v/>
      </c>
      <c r="J335" s="29" t="str">
        <f ca="1">IFERROR(__xludf.DUMMYFUNCTION("""COMPUTED_VALUE"""),"")</f>
        <v/>
      </c>
      <c r="K335" s="29" t="str">
        <f ca="1">IFERROR(__xludf.DUMMYFUNCTION("""COMPUTED_VALUE"""),"")</f>
        <v/>
      </c>
      <c r="L335" s="29" t="str">
        <f ca="1">IFERROR(__xludf.DUMMYFUNCTION("""COMPUTED_VALUE"""),"")</f>
        <v/>
      </c>
      <c r="M335" s="29" t="str">
        <f ca="1">IFERROR(__xludf.DUMMYFUNCTION("""COMPUTED_VALUE"""),"")</f>
        <v/>
      </c>
      <c r="N335" s="29" t="str">
        <f ca="1">IFERROR(__xludf.DUMMYFUNCTION("""COMPUTED_VALUE"""),"")</f>
        <v/>
      </c>
    </row>
    <row r="336" spans="2:14" ht="12.5">
      <c r="B336" s="2"/>
      <c r="C336" s="2" t="str">
        <f ca="1">IFERROR(__xludf.DUMMYFUNCTION("""COMPUTED_VALUE"""),"")</f>
        <v/>
      </c>
      <c r="D336" s="2" t="str">
        <f ca="1">IFERROR(__xludf.DUMMYFUNCTION("""COMPUTED_VALUE"""),"")</f>
        <v/>
      </c>
      <c r="E336" s="29" t="str">
        <f ca="1">IFERROR(__xludf.DUMMYFUNCTION("""COMPUTED_VALUE"""),"")</f>
        <v/>
      </c>
      <c r="F336" s="30" t="str">
        <f ca="1">IFERROR(__xludf.DUMMYFUNCTION("""COMPUTED_VALUE"""),"")</f>
        <v/>
      </c>
      <c r="G336" s="29" t="str">
        <f ca="1">IFERROR(__xludf.DUMMYFUNCTION("""COMPUTED_VALUE"""),"")</f>
        <v/>
      </c>
      <c r="H336" s="30" t="str">
        <f ca="1">IFERROR(__xludf.DUMMYFUNCTION("""COMPUTED_VALUE"""),"")</f>
        <v/>
      </c>
      <c r="I336" s="29" t="str">
        <f ca="1">IFERROR(__xludf.DUMMYFUNCTION("""COMPUTED_VALUE"""),"")</f>
        <v/>
      </c>
      <c r="J336" s="29" t="str">
        <f ca="1">IFERROR(__xludf.DUMMYFUNCTION("""COMPUTED_VALUE"""),"")</f>
        <v/>
      </c>
      <c r="K336" s="29" t="str">
        <f ca="1">IFERROR(__xludf.DUMMYFUNCTION("""COMPUTED_VALUE"""),"")</f>
        <v/>
      </c>
      <c r="L336" s="29" t="str">
        <f ca="1">IFERROR(__xludf.DUMMYFUNCTION("""COMPUTED_VALUE"""),"")</f>
        <v/>
      </c>
      <c r="M336" s="29" t="str">
        <f ca="1">IFERROR(__xludf.DUMMYFUNCTION("""COMPUTED_VALUE"""),"")</f>
        <v/>
      </c>
      <c r="N336" s="29" t="str">
        <f ca="1">IFERROR(__xludf.DUMMYFUNCTION("""COMPUTED_VALUE"""),"")</f>
        <v/>
      </c>
    </row>
    <row r="337" spans="2:14" ht="12.5">
      <c r="B337" s="2"/>
      <c r="C337" s="2" t="str">
        <f ca="1">IFERROR(__xludf.DUMMYFUNCTION("""COMPUTED_VALUE"""),"")</f>
        <v/>
      </c>
      <c r="D337" s="2" t="str">
        <f ca="1">IFERROR(__xludf.DUMMYFUNCTION("""COMPUTED_VALUE"""),"")</f>
        <v/>
      </c>
      <c r="E337" s="29" t="str">
        <f ca="1">IFERROR(__xludf.DUMMYFUNCTION("""COMPUTED_VALUE"""),"")</f>
        <v/>
      </c>
      <c r="F337" s="30" t="str">
        <f ca="1">IFERROR(__xludf.DUMMYFUNCTION("""COMPUTED_VALUE"""),"")</f>
        <v/>
      </c>
      <c r="G337" s="29" t="str">
        <f ca="1">IFERROR(__xludf.DUMMYFUNCTION("""COMPUTED_VALUE"""),"")</f>
        <v/>
      </c>
      <c r="H337" s="30" t="str">
        <f ca="1">IFERROR(__xludf.DUMMYFUNCTION("""COMPUTED_VALUE"""),"")</f>
        <v/>
      </c>
      <c r="I337" s="29" t="str">
        <f ca="1">IFERROR(__xludf.DUMMYFUNCTION("""COMPUTED_VALUE"""),"")</f>
        <v/>
      </c>
      <c r="J337" s="29" t="str">
        <f ca="1">IFERROR(__xludf.DUMMYFUNCTION("""COMPUTED_VALUE"""),"")</f>
        <v/>
      </c>
      <c r="K337" s="29" t="str">
        <f ca="1">IFERROR(__xludf.DUMMYFUNCTION("""COMPUTED_VALUE"""),"")</f>
        <v/>
      </c>
      <c r="L337" s="29" t="str">
        <f ca="1">IFERROR(__xludf.DUMMYFUNCTION("""COMPUTED_VALUE"""),"")</f>
        <v/>
      </c>
      <c r="M337" s="29" t="str">
        <f ca="1">IFERROR(__xludf.DUMMYFUNCTION("""COMPUTED_VALUE"""),"")</f>
        <v/>
      </c>
      <c r="N337" s="29" t="str">
        <f ca="1">IFERROR(__xludf.DUMMYFUNCTION("""COMPUTED_VALUE"""),"")</f>
        <v/>
      </c>
    </row>
    <row r="338" spans="2:14" ht="12.5">
      <c r="B338" s="2"/>
      <c r="C338" s="2" t="str">
        <f ca="1">IFERROR(__xludf.DUMMYFUNCTION("""COMPUTED_VALUE"""),"")</f>
        <v/>
      </c>
      <c r="D338" s="2" t="str">
        <f ca="1">IFERROR(__xludf.DUMMYFUNCTION("""COMPUTED_VALUE"""),"")</f>
        <v/>
      </c>
      <c r="E338" s="29" t="str">
        <f ca="1">IFERROR(__xludf.DUMMYFUNCTION("""COMPUTED_VALUE"""),"")</f>
        <v/>
      </c>
      <c r="F338" s="30" t="str">
        <f ca="1">IFERROR(__xludf.DUMMYFUNCTION("""COMPUTED_VALUE"""),"")</f>
        <v/>
      </c>
      <c r="G338" s="29" t="str">
        <f ca="1">IFERROR(__xludf.DUMMYFUNCTION("""COMPUTED_VALUE"""),"")</f>
        <v/>
      </c>
      <c r="H338" s="30" t="str">
        <f ca="1">IFERROR(__xludf.DUMMYFUNCTION("""COMPUTED_VALUE"""),"")</f>
        <v/>
      </c>
      <c r="I338" s="29" t="str">
        <f ca="1">IFERROR(__xludf.DUMMYFUNCTION("""COMPUTED_VALUE"""),"")</f>
        <v/>
      </c>
      <c r="J338" s="29" t="str">
        <f ca="1">IFERROR(__xludf.DUMMYFUNCTION("""COMPUTED_VALUE"""),"")</f>
        <v/>
      </c>
      <c r="K338" s="29" t="str">
        <f ca="1">IFERROR(__xludf.DUMMYFUNCTION("""COMPUTED_VALUE"""),"")</f>
        <v/>
      </c>
      <c r="L338" s="29" t="str">
        <f ca="1">IFERROR(__xludf.DUMMYFUNCTION("""COMPUTED_VALUE"""),"")</f>
        <v/>
      </c>
      <c r="M338" s="29" t="str">
        <f ca="1">IFERROR(__xludf.DUMMYFUNCTION("""COMPUTED_VALUE"""),"")</f>
        <v/>
      </c>
      <c r="N338" s="29" t="str">
        <f ca="1">IFERROR(__xludf.DUMMYFUNCTION("""COMPUTED_VALUE"""),"")</f>
        <v/>
      </c>
    </row>
    <row r="339" spans="2:14" ht="12.5">
      <c r="B339" s="2"/>
      <c r="C339" s="2" t="str">
        <f ca="1">IFERROR(__xludf.DUMMYFUNCTION("""COMPUTED_VALUE"""),"")</f>
        <v/>
      </c>
      <c r="D339" s="2" t="str">
        <f ca="1">IFERROR(__xludf.DUMMYFUNCTION("""COMPUTED_VALUE"""),"")</f>
        <v/>
      </c>
      <c r="E339" s="29" t="str">
        <f ca="1">IFERROR(__xludf.DUMMYFUNCTION("""COMPUTED_VALUE"""),"")</f>
        <v/>
      </c>
      <c r="F339" s="30" t="str">
        <f ca="1">IFERROR(__xludf.DUMMYFUNCTION("""COMPUTED_VALUE"""),"")</f>
        <v/>
      </c>
      <c r="G339" s="29" t="str">
        <f ca="1">IFERROR(__xludf.DUMMYFUNCTION("""COMPUTED_VALUE"""),"")</f>
        <v/>
      </c>
      <c r="H339" s="30" t="str">
        <f ca="1">IFERROR(__xludf.DUMMYFUNCTION("""COMPUTED_VALUE"""),"")</f>
        <v/>
      </c>
      <c r="I339" s="29" t="str">
        <f ca="1">IFERROR(__xludf.DUMMYFUNCTION("""COMPUTED_VALUE"""),"")</f>
        <v/>
      </c>
      <c r="J339" s="29" t="str">
        <f ca="1">IFERROR(__xludf.DUMMYFUNCTION("""COMPUTED_VALUE"""),"")</f>
        <v/>
      </c>
      <c r="K339" s="29" t="str">
        <f ca="1">IFERROR(__xludf.DUMMYFUNCTION("""COMPUTED_VALUE"""),"")</f>
        <v/>
      </c>
      <c r="L339" s="29" t="str">
        <f ca="1">IFERROR(__xludf.DUMMYFUNCTION("""COMPUTED_VALUE"""),"")</f>
        <v/>
      </c>
      <c r="M339" s="29" t="str">
        <f ca="1">IFERROR(__xludf.DUMMYFUNCTION("""COMPUTED_VALUE"""),"")</f>
        <v/>
      </c>
      <c r="N339" s="29" t="str">
        <f ca="1">IFERROR(__xludf.DUMMYFUNCTION("""COMPUTED_VALUE"""),"")</f>
        <v/>
      </c>
    </row>
    <row r="340" spans="2:14" ht="12.5">
      <c r="B340" s="2"/>
      <c r="C340" s="2" t="str">
        <f ca="1">IFERROR(__xludf.DUMMYFUNCTION("""COMPUTED_VALUE"""),"")</f>
        <v/>
      </c>
      <c r="D340" s="2" t="str">
        <f ca="1">IFERROR(__xludf.DUMMYFUNCTION("""COMPUTED_VALUE"""),"")</f>
        <v/>
      </c>
      <c r="E340" s="29" t="str">
        <f ca="1">IFERROR(__xludf.DUMMYFUNCTION("""COMPUTED_VALUE"""),"")</f>
        <v/>
      </c>
      <c r="F340" s="30" t="str">
        <f ca="1">IFERROR(__xludf.DUMMYFUNCTION("""COMPUTED_VALUE"""),"")</f>
        <v/>
      </c>
      <c r="G340" s="29" t="str">
        <f ca="1">IFERROR(__xludf.DUMMYFUNCTION("""COMPUTED_VALUE"""),"")</f>
        <v/>
      </c>
      <c r="H340" s="30" t="str">
        <f ca="1">IFERROR(__xludf.DUMMYFUNCTION("""COMPUTED_VALUE"""),"")</f>
        <v/>
      </c>
      <c r="I340" s="29" t="str">
        <f ca="1">IFERROR(__xludf.DUMMYFUNCTION("""COMPUTED_VALUE"""),"")</f>
        <v/>
      </c>
      <c r="J340" s="29" t="str">
        <f ca="1">IFERROR(__xludf.DUMMYFUNCTION("""COMPUTED_VALUE"""),"")</f>
        <v/>
      </c>
      <c r="K340" s="29" t="str">
        <f ca="1">IFERROR(__xludf.DUMMYFUNCTION("""COMPUTED_VALUE"""),"")</f>
        <v/>
      </c>
      <c r="L340" s="29" t="str">
        <f ca="1">IFERROR(__xludf.DUMMYFUNCTION("""COMPUTED_VALUE"""),"")</f>
        <v/>
      </c>
      <c r="M340" s="29" t="str">
        <f ca="1">IFERROR(__xludf.DUMMYFUNCTION("""COMPUTED_VALUE"""),"")</f>
        <v/>
      </c>
      <c r="N340" s="29" t="str">
        <f ca="1">IFERROR(__xludf.DUMMYFUNCTION("""COMPUTED_VALUE"""),"")</f>
        <v/>
      </c>
    </row>
    <row r="341" spans="2:14" ht="12.5">
      <c r="B341" s="2"/>
      <c r="C341" s="2" t="str">
        <f ca="1">IFERROR(__xludf.DUMMYFUNCTION("""COMPUTED_VALUE"""),"")</f>
        <v/>
      </c>
      <c r="D341" s="2" t="str">
        <f ca="1">IFERROR(__xludf.DUMMYFUNCTION("""COMPUTED_VALUE"""),"")</f>
        <v/>
      </c>
      <c r="E341" s="29" t="str">
        <f ca="1">IFERROR(__xludf.DUMMYFUNCTION("""COMPUTED_VALUE"""),"")</f>
        <v/>
      </c>
      <c r="F341" s="30" t="str">
        <f ca="1">IFERROR(__xludf.DUMMYFUNCTION("""COMPUTED_VALUE"""),"")</f>
        <v/>
      </c>
      <c r="G341" s="29" t="str">
        <f ca="1">IFERROR(__xludf.DUMMYFUNCTION("""COMPUTED_VALUE"""),"")</f>
        <v/>
      </c>
      <c r="H341" s="30" t="str">
        <f ca="1">IFERROR(__xludf.DUMMYFUNCTION("""COMPUTED_VALUE"""),"")</f>
        <v/>
      </c>
      <c r="I341" s="29" t="str">
        <f ca="1">IFERROR(__xludf.DUMMYFUNCTION("""COMPUTED_VALUE"""),"")</f>
        <v/>
      </c>
      <c r="J341" s="29" t="str">
        <f ca="1">IFERROR(__xludf.DUMMYFUNCTION("""COMPUTED_VALUE"""),"")</f>
        <v/>
      </c>
      <c r="K341" s="29" t="str">
        <f ca="1">IFERROR(__xludf.DUMMYFUNCTION("""COMPUTED_VALUE"""),"")</f>
        <v/>
      </c>
      <c r="L341" s="29" t="str">
        <f ca="1">IFERROR(__xludf.DUMMYFUNCTION("""COMPUTED_VALUE"""),"")</f>
        <v/>
      </c>
      <c r="M341" s="29" t="str">
        <f ca="1">IFERROR(__xludf.DUMMYFUNCTION("""COMPUTED_VALUE"""),"")</f>
        <v/>
      </c>
      <c r="N341" s="29" t="str">
        <f ca="1">IFERROR(__xludf.DUMMYFUNCTION("""COMPUTED_VALUE"""),"")</f>
        <v/>
      </c>
    </row>
    <row r="342" spans="2:14" ht="12.5">
      <c r="B342" s="2"/>
      <c r="C342" s="2" t="str">
        <f ca="1">IFERROR(__xludf.DUMMYFUNCTION("""COMPUTED_VALUE"""),"")</f>
        <v/>
      </c>
      <c r="D342" s="2" t="str">
        <f ca="1">IFERROR(__xludf.DUMMYFUNCTION("""COMPUTED_VALUE"""),"")</f>
        <v/>
      </c>
      <c r="E342" s="29" t="str">
        <f ca="1">IFERROR(__xludf.DUMMYFUNCTION("""COMPUTED_VALUE"""),"")</f>
        <v/>
      </c>
      <c r="F342" s="30" t="str">
        <f ca="1">IFERROR(__xludf.DUMMYFUNCTION("""COMPUTED_VALUE"""),"")</f>
        <v/>
      </c>
      <c r="G342" s="29" t="str">
        <f ca="1">IFERROR(__xludf.DUMMYFUNCTION("""COMPUTED_VALUE"""),"")</f>
        <v/>
      </c>
      <c r="H342" s="30" t="str">
        <f ca="1">IFERROR(__xludf.DUMMYFUNCTION("""COMPUTED_VALUE"""),"")</f>
        <v/>
      </c>
      <c r="I342" s="29" t="str">
        <f ca="1">IFERROR(__xludf.DUMMYFUNCTION("""COMPUTED_VALUE"""),"")</f>
        <v/>
      </c>
      <c r="J342" s="29" t="str">
        <f ca="1">IFERROR(__xludf.DUMMYFUNCTION("""COMPUTED_VALUE"""),"")</f>
        <v/>
      </c>
      <c r="K342" s="29" t="str">
        <f ca="1">IFERROR(__xludf.DUMMYFUNCTION("""COMPUTED_VALUE"""),"")</f>
        <v/>
      </c>
      <c r="L342" s="29" t="str">
        <f ca="1">IFERROR(__xludf.DUMMYFUNCTION("""COMPUTED_VALUE"""),"")</f>
        <v/>
      </c>
      <c r="M342" s="29" t="str">
        <f ca="1">IFERROR(__xludf.DUMMYFUNCTION("""COMPUTED_VALUE"""),"")</f>
        <v/>
      </c>
      <c r="N342" s="29" t="str">
        <f ca="1">IFERROR(__xludf.DUMMYFUNCTION("""COMPUTED_VALUE"""),"")</f>
        <v/>
      </c>
    </row>
    <row r="343" spans="2:14" ht="12.5">
      <c r="B343" s="2"/>
      <c r="C343" s="2" t="str">
        <f ca="1">IFERROR(__xludf.DUMMYFUNCTION("""COMPUTED_VALUE"""),"")</f>
        <v/>
      </c>
      <c r="D343" s="2" t="str">
        <f ca="1">IFERROR(__xludf.DUMMYFUNCTION("""COMPUTED_VALUE"""),"")</f>
        <v/>
      </c>
      <c r="E343" s="29" t="str">
        <f ca="1">IFERROR(__xludf.DUMMYFUNCTION("""COMPUTED_VALUE"""),"")</f>
        <v/>
      </c>
      <c r="F343" s="30" t="str">
        <f ca="1">IFERROR(__xludf.DUMMYFUNCTION("""COMPUTED_VALUE"""),"")</f>
        <v/>
      </c>
      <c r="G343" s="29" t="str">
        <f ca="1">IFERROR(__xludf.DUMMYFUNCTION("""COMPUTED_VALUE"""),"")</f>
        <v/>
      </c>
      <c r="H343" s="30" t="str">
        <f ca="1">IFERROR(__xludf.DUMMYFUNCTION("""COMPUTED_VALUE"""),"")</f>
        <v/>
      </c>
      <c r="I343" s="29" t="str">
        <f ca="1">IFERROR(__xludf.DUMMYFUNCTION("""COMPUTED_VALUE"""),"")</f>
        <v/>
      </c>
      <c r="J343" s="29" t="str">
        <f ca="1">IFERROR(__xludf.DUMMYFUNCTION("""COMPUTED_VALUE"""),"")</f>
        <v/>
      </c>
      <c r="K343" s="29" t="str">
        <f ca="1">IFERROR(__xludf.DUMMYFUNCTION("""COMPUTED_VALUE"""),"")</f>
        <v/>
      </c>
      <c r="L343" s="29" t="str">
        <f ca="1">IFERROR(__xludf.DUMMYFUNCTION("""COMPUTED_VALUE"""),"")</f>
        <v/>
      </c>
      <c r="M343" s="29" t="str">
        <f ca="1">IFERROR(__xludf.DUMMYFUNCTION("""COMPUTED_VALUE"""),"")</f>
        <v/>
      </c>
      <c r="N343" s="29" t="str">
        <f ca="1">IFERROR(__xludf.DUMMYFUNCTION("""COMPUTED_VALUE"""),"")</f>
        <v/>
      </c>
    </row>
    <row r="344" spans="2:14" ht="12.5">
      <c r="B344" s="2"/>
      <c r="C344" s="2" t="str">
        <f ca="1">IFERROR(__xludf.DUMMYFUNCTION("""COMPUTED_VALUE"""),"")</f>
        <v/>
      </c>
      <c r="D344" s="2" t="str">
        <f ca="1">IFERROR(__xludf.DUMMYFUNCTION("""COMPUTED_VALUE"""),"")</f>
        <v/>
      </c>
      <c r="E344" s="29" t="str">
        <f ca="1">IFERROR(__xludf.DUMMYFUNCTION("""COMPUTED_VALUE"""),"")</f>
        <v/>
      </c>
      <c r="F344" s="30" t="str">
        <f ca="1">IFERROR(__xludf.DUMMYFUNCTION("""COMPUTED_VALUE"""),"")</f>
        <v/>
      </c>
      <c r="G344" s="29" t="str">
        <f ca="1">IFERROR(__xludf.DUMMYFUNCTION("""COMPUTED_VALUE"""),"")</f>
        <v/>
      </c>
      <c r="H344" s="30" t="str">
        <f ca="1">IFERROR(__xludf.DUMMYFUNCTION("""COMPUTED_VALUE"""),"")</f>
        <v/>
      </c>
      <c r="I344" s="29" t="str">
        <f ca="1">IFERROR(__xludf.DUMMYFUNCTION("""COMPUTED_VALUE"""),"")</f>
        <v/>
      </c>
      <c r="J344" s="29" t="str">
        <f ca="1">IFERROR(__xludf.DUMMYFUNCTION("""COMPUTED_VALUE"""),"")</f>
        <v/>
      </c>
      <c r="K344" s="29" t="str">
        <f ca="1">IFERROR(__xludf.DUMMYFUNCTION("""COMPUTED_VALUE"""),"")</f>
        <v/>
      </c>
      <c r="L344" s="29" t="str">
        <f ca="1">IFERROR(__xludf.DUMMYFUNCTION("""COMPUTED_VALUE"""),"")</f>
        <v/>
      </c>
      <c r="M344" s="29" t="str">
        <f ca="1">IFERROR(__xludf.DUMMYFUNCTION("""COMPUTED_VALUE"""),"")</f>
        <v/>
      </c>
      <c r="N344" s="29" t="str">
        <f ca="1">IFERROR(__xludf.DUMMYFUNCTION("""COMPUTED_VALUE"""),"")</f>
        <v/>
      </c>
    </row>
    <row r="345" spans="2:14" ht="12.5">
      <c r="B345" s="2"/>
      <c r="C345" s="2" t="str">
        <f ca="1">IFERROR(__xludf.DUMMYFUNCTION("""COMPUTED_VALUE"""),"")</f>
        <v/>
      </c>
      <c r="D345" s="2" t="str">
        <f ca="1">IFERROR(__xludf.DUMMYFUNCTION("""COMPUTED_VALUE"""),"")</f>
        <v/>
      </c>
      <c r="E345" s="29" t="str">
        <f ca="1">IFERROR(__xludf.DUMMYFUNCTION("""COMPUTED_VALUE"""),"")</f>
        <v/>
      </c>
      <c r="F345" s="30" t="str">
        <f ca="1">IFERROR(__xludf.DUMMYFUNCTION("""COMPUTED_VALUE"""),"")</f>
        <v/>
      </c>
      <c r="G345" s="29" t="str">
        <f ca="1">IFERROR(__xludf.DUMMYFUNCTION("""COMPUTED_VALUE"""),"")</f>
        <v/>
      </c>
      <c r="H345" s="30" t="str">
        <f ca="1">IFERROR(__xludf.DUMMYFUNCTION("""COMPUTED_VALUE"""),"")</f>
        <v/>
      </c>
      <c r="I345" s="29" t="str">
        <f ca="1">IFERROR(__xludf.DUMMYFUNCTION("""COMPUTED_VALUE"""),"")</f>
        <v/>
      </c>
      <c r="J345" s="29" t="str">
        <f ca="1">IFERROR(__xludf.DUMMYFUNCTION("""COMPUTED_VALUE"""),"")</f>
        <v/>
      </c>
      <c r="K345" s="29" t="str">
        <f ca="1">IFERROR(__xludf.DUMMYFUNCTION("""COMPUTED_VALUE"""),"")</f>
        <v/>
      </c>
      <c r="L345" s="29" t="str">
        <f ca="1">IFERROR(__xludf.DUMMYFUNCTION("""COMPUTED_VALUE"""),"")</f>
        <v/>
      </c>
      <c r="M345" s="29" t="str">
        <f ca="1">IFERROR(__xludf.DUMMYFUNCTION("""COMPUTED_VALUE"""),"")</f>
        <v/>
      </c>
      <c r="N345" s="29" t="str">
        <f ca="1">IFERROR(__xludf.DUMMYFUNCTION("""COMPUTED_VALUE"""),"")</f>
        <v/>
      </c>
    </row>
    <row r="346" spans="2:14" ht="12.5">
      <c r="B346" s="2"/>
      <c r="C346" s="2" t="str">
        <f ca="1">IFERROR(__xludf.DUMMYFUNCTION("""COMPUTED_VALUE"""),"")</f>
        <v/>
      </c>
      <c r="D346" s="2" t="str">
        <f ca="1">IFERROR(__xludf.DUMMYFUNCTION("""COMPUTED_VALUE"""),"")</f>
        <v/>
      </c>
      <c r="E346" s="29" t="str">
        <f ca="1">IFERROR(__xludf.DUMMYFUNCTION("""COMPUTED_VALUE"""),"")</f>
        <v/>
      </c>
      <c r="F346" s="30" t="str">
        <f ca="1">IFERROR(__xludf.DUMMYFUNCTION("""COMPUTED_VALUE"""),"")</f>
        <v/>
      </c>
      <c r="G346" s="29" t="str">
        <f ca="1">IFERROR(__xludf.DUMMYFUNCTION("""COMPUTED_VALUE"""),"")</f>
        <v/>
      </c>
      <c r="H346" s="30" t="str">
        <f ca="1">IFERROR(__xludf.DUMMYFUNCTION("""COMPUTED_VALUE"""),"")</f>
        <v/>
      </c>
      <c r="I346" s="29" t="str">
        <f ca="1">IFERROR(__xludf.DUMMYFUNCTION("""COMPUTED_VALUE"""),"")</f>
        <v/>
      </c>
      <c r="J346" s="29" t="str">
        <f ca="1">IFERROR(__xludf.DUMMYFUNCTION("""COMPUTED_VALUE"""),"")</f>
        <v/>
      </c>
      <c r="K346" s="29" t="str">
        <f ca="1">IFERROR(__xludf.DUMMYFUNCTION("""COMPUTED_VALUE"""),"")</f>
        <v/>
      </c>
      <c r="L346" s="29" t="str">
        <f ca="1">IFERROR(__xludf.DUMMYFUNCTION("""COMPUTED_VALUE"""),"")</f>
        <v/>
      </c>
      <c r="M346" s="29" t="str">
        <f ca="1">IFERROR(__xludf.DUMMYFUNCTION("""COMPUTED_VALUE"""),"")</f>
        <v/>
      </c>
      <c r="N346" s="29" t="str">
        <f ca="1">IFERROR(__xludf.DUMMYFUNCTION("""COMPUTED_VALUE"""),"")</f>
        <v/>
      </c>
    </row>
    <row r="347" spans="2:14" ht="12.5">
      <c r="B347" s="2"/>
      <c r="C347" s="2" t="str">
        <f ca="1">IFERROR(__xludf.DUMMYFUNCTION("""COMPUTED_VALUE"""),"")</f>
        <v/>
      </c>
      <c r="D347" s="2" t="str">
        <f ca="1">IFERROR(__xludf.DUMMYFUNCTION("""COMPUTED_VALUE"""),"")</f>
        <v/>
      </c>
      <c r="E347" s="29" t="str">
        <f ca="1">IFERROR(__xludf.DUMMYFUNCTION("""COMPUTED_VALUE"""),"")</f>
        <v/>
      </c>
      <c r="F347" s="30" t="str">
        <f ca="1">IFERROR(__xludf.DUMMYFUNCTION("""COMPUTED_VALUE"""),"")</f>
        <v/>
      </c>
      <c r="G347" s="29" t="str">
        <f ca="1">IFERROR(__xludf.DUMMYFUNCTION("""COMPUTED_VALUE"""),"")</f>
        <v/>
      </c>
      <c r="H347" s="30" t="str">
        <f ca="1">IFERROR(__xludf.DUMMYFUNCTION("""COMPUTED_VALUE"""),"")</f>
        <v/>
      </c>
      <c r="I347" s="29" t="str">
        <f ca="1">IFERROR(__xludf.DUMMYFUNCTION("""COMPUTED_VALUE"""),"")</f>
        <v/>
      </c>
      <c r="J347" s="29" t="str">
        <f ca="1">IFERROR(__xludf.DUMMYFUNCTION("""COMPUTED_VALUE"""),"")</f>
        <v/>
      </c>
      <c r="K347" s="29" t="str">
        <f ca="1">IFERROR(__xludf.DUMMYFUNCTION("""COMPUTED_VALUE"""),"")</f>
        <v/>
      </c>
      <c r="L347" s="29" t="str">
        <f ca="1">IFERROR(__xludf.DUMMYFUNCTION("""COMPUTED_VALUE"""),"")</f>
        <v/>
      </c>
      <c r="M347" s="29" t="str">
        <f ca="1">IFERROR(__xludf.DUMMYFUNCTION("""COMPUTED_VALUE"""),"")</f>
        <v/>
      </c>
      <c r="N347" s="29" t="str">
        <f ca="1">IFERROR(__xludf.DUMMYFUNCTION("""COMPUTED_VALUE"""),"")</f>
        <v/>
      </c>
    </row>
    <row r="348" spans="2:14" ht="12.5">
      <c r="B348" s="2"/>
      <c r="C348" s="2" t="str">
        <f ca="1">IFERROR(__xludf.DUMMYFUNCTION("""COMPUTED_VALUE"""),"")</f>
        <v/>
      </c>
      <c r="D348" s="2" t="str">
        <f ca="1">IFERROR(__xludf.DUMMYFUNCTION("""COMPUTED_VALUE"""),"")</f>
        <v/>
      </c>
      <c r="E348" s="29" t="str">
        <f ca="1">IFERROR(__xludf.DUMMYFUNCTION("""COMPUTED_VALUE"""),"")</f>
        <v/>
      </c>
      <c r="F348" s="30" t="str">
        <f ca="1">IFERROR(__xludf.DUMMYFUNCTION("""COMPUTED_VALUE"""),"")</f>
        <v/>
      </c>
      <c r="G348" s="29" t="str">
        <f ca="1">IFERROR(__xludf.DUMMYFUNCTION("""COMPUTED_VALUE"""),"")</f>
        <v/>
      </c>
      <c r="H348" s="30" t="str">
        <f ca="1">IFERROR(__xludf.DUMMYFUNCTION("""COMPUTED_VALUE"""),"")</f>
        <v/>
      </c>
      <c r="I348" s="29" t="str">
        <f ca="1">IFERROR(__xludf.DUMMYFUNCTION("""COMPUTED_VALUE"""),"")</f>
        <v/>
      </c>
      <c r="J348" s="29" t="str">
        <f ca="1">IFERROR(__xludf.DUMMYFUNCTION("""COMPUTED_VALUE"""),"")</f>
        <v/>
      </c>
      <c r="K348" s="29" t="str">
        <f ca="1">IFERROR(__xludf.DUMMYFUNCTION("""COMPUTED_VALUE"""),"")</f>
        <v/>
      </c>
      <c r="L348" s="29" t="str">
        <f ca="1">IFERROR(__xludf.DUMMYFUNCTION("""COMPUTED_VALUE"""),"")</f>
        <v/>
      </c>
      <c r="M348" s="29" t="str">
        <f ca="1">IFERROR(__xludf.DUMMYFUNCTION("""COMPUTED_VALUE"""),"")</f>
        <v/>
      </c>
      <c r="N348" s="29" t="str">
        <f ca="1">IFERROR(__xludf.DUMMYFUNCTION("""COMPUTED_VALUE"""),"")</f>
        <v/>
      </c>
    </row>
    <row r="349" spans="2:14" ht="12.5">
      <c r="B349" s="2"/>
      <c r="C349" s="2" t="str">
        <f ca="1">IFERROR(__xludf.DUMMYFUNCTION("""COMPUTED_VALUE"""),"")</f>
        <v/>
      </c>
      <c r="D349" s="2" t="str">
        <f ca="1">IFERROR(__xludf.DUMMYFUNCTION("""COMPUTED_VALUE"""),"")</f>
        <v/>
      </c>
      <c r="E349" s="29" t="str">
        <f ca="1">IFERROR(__xludf.DUMMYFUNCTION("""COMPUTED_VALUE"""),"")</f>
        <v/>
      </c>
      <c r="F349" s="30" t="str">
        <f ca="1">IFERROR(__xludf.DUMMYFUNCTION("""COMPUTED_VALUE"""),"")</f>
        <v/>
      </c>
      <c r="G349" s="29" t="str">
        <f ca="1">IFERROR(__xludf.DUMMYFUNCTION("""COMPUTED_VALUE"""),"")</f>
        <v/>
      </c>
      <c r="H349" s="30" t="str">
        <f ca="1">IFERROR(__xludf.DUMMYFUNCTION("""COMPUTED_VALUE"""),"")</f>
        <v/>
      </c>
      <c r="I349" s="29" t="str">
        <f ca="1">IFERROR(__xludf.DUMMYFUNCTION("""COMPUTED_VALUE"""),"")</f>
        <v/>
      </c>
      <c r="J349" s="29" t="str">
        <f ca="1">IFERROR(__xludf.DUMMYFUNCTION("""COMPUTED_VALUE"""),"")</f>
        <v/>
      </c>
      <c r="K349" s="29" t="str">
        <f ca="1">IFERROR(__xludf.DUMMYFUNCTION("""COMPUTED_VALUE"""),"")</f>
        <v/>
      </c>
      <c r="L349" s="29" t="str">
        <f ca="1">IFERROR(__xludf.DUMMYFUNCTION("""COMPUTED_VALUE"""),"")</f>
        <v/>
      </c>
      <c r="M349" s="29" t="str">
        <f ca="1">IFERROR(__xludf.DUMMYFUNCTION("""COMPUTED_VALUE"""),"")</f>
        <v/>
      </c>
      <c r="N349" s="29" t="str">
        <f ca="1">IFERROR(__xludf.DUMMYFUNCTION("""COMPUTED_VALUE"""),"")</f>
        <v/>
      </c>
    </row>
    <row r="350" spans="2:14" ht="12.5">
      <c r="B350" s="2"/>
      <c r="C350" s="2" t="str">
        <f ca="1">IFERROR(__xludf.DUMMYFUNCTION("""COMPUTED_VALUE"""),"")</f>
        <v/>
      </c>
      <c r="D350" s="2" t="str">
        <f ca="1">IFERROR(__xludf.DUMMYFUNCTION("""COMPUTED_VALUE"""),"")</f>
        <v/>
      </c>
      <c r="E350" s="29" t="str">
        <f ca="1">IFERROR(__xludf.DUMMYFUNCTION("""COMPUTED_VALUE"""),"")</f>
        <v/>
      </c>
      <c r="F350" s="30" t="str">
        <f ca="1">IFERROR(__xludf.DUMMYFUNCTION("""COMPUTED_VALUE"""),"")</f>
        <v/>
      </c>
      <c r="G350" s="29" t="str">
        <f ca="1">IFERROR(__xludf.DUMMYFUNCTION("""COMPUTED_VALUE"""),"")</f>
        <v/>
      </c>
      <c r="H350" s="30" t="str">
        <f ca="1">IFERROR(__xludf.DUMMYFUNCTION("""COMPUTED_VALUE"""),"")</f>
        <v/>
      </c>
      <c r="I350" s="29" t="str">
        <f ca="1">IFERROR(__xludf.DUMMYFUNCTION("""COMPUTED_VALUE"""),"")</f>
        <v/>
      </c>
      <c r="J350" s="29" t="str">
        <f ca="1">IFERROR(__xludf.DUMMYFUNCTION("""COMPUTED_VALUE"""),"")</f>
        <v/>
      </c>
      <c r="K350" s="29" t="str">
        <f ca="1">IFERROR(__xludf.DUMMYFUNCTION("""COMPUTED_VALUE"""),"")</f>
        <v/>
      </c>
      <c r="L350" s="29" t="str">
        <f ca="1">IFERROR(__xludf.DUMMYFUNCTION("""COMPUTED_VALUE"""),"")</f>
        <v/>
      </c>
      <c r="M350" s="29" t="str">
        <f ca="1">IFERROR(__xludf.DUMMYFUNCTION("""COMPUTED_VALUE"""),"")</f>
        <v/>
      </c>
      <c r="N350" s="29" t="str">
        <f ca="1">IFERROR(__xludf.DUMMYFUNCTION("""COMPUTED_VALUE"""),"")</f>
        <v/>
      </c>
    </row>
    <row r="351" spans="2:14" ht="12.5">
      <c r="B351" s="2"/>
      <c r="C351" s="2" t="str">
        <f ca="1">IFERROR(__xludf.DUMMYFUNCTION("""COMPUTED_VALUE"""),"")</f>
        <v/>
      </c>
      <c r="D351" s="2" t="str">
        <f ca="1">IFERROR(__xludf.DUMMYFUNCTION("""COMPUTED_VALUE"""),"")</f>
        <v/>
      </c>
      <c r="E351" s="29" t="str">
        <f ca="1">IFERROR(__xludf.DUMMYFUNCTION("""COMPUTED_VALUE"""),"")</f>
        <v/>
      </c>
      <c r="F351" s="30" t="str">
        <f ca="1">IFERROR(__xludf.DUMMYFUNCTION("""COMPUTED_VALUE"""),"")</f>
        <v/>
      </c>
      <c r="G351" s="29" t="str">
        <f ca="1">IFERROR(__xludf.DUMMYFUNCTION("""COMPUTED_VALUE"""),"")</f>
        <v/>
      </c>
      <c r="H351" s="30" t="str">
        <f ca="1">IFERROR(__xludf.DUMMYFUNCTION("""COMPUTED_VALUE"""),"")</f>
        <v/>
      </c>
      <c r="I351" s="29" t="str">
        <f ca="1">IFERROR(__xludf.DUMMYFUNCTION("""COMPUTED_VALUE"""),"")</f>
        <v/>
      </c>
      <c r="J351" s="29" t="str">
        <f ca="1">IFERROR(__xludf.DUMMYFUNCTION("""COMPUTED_VALUE"""),"")</f>
        <v/>
      </c>
      <c r="K351" s="29" t="str">
        <f ca="1">IFERROR(__xludf.DUMMYFUNCTION("""COMPUTED_VALUE"""),"")</f>
        <v/>
      </c>
      <c r="L351" s="29" t="str">
        <f ca="1">IFERROR(__xludf.DUMMYFUNCTION("""COMPUTED_VALUE"""),"")</f>
        <v/>
      </c>
      <c r="M351" s="29" t="str">
        <f ca="1">IFERROR(__xludf.DUMMYFUNCTION("""COMPUTED_VALUE"""),"")</f>
        <v/>
      </c>
      <c r="N351" s="29" t="str">
        <f ca="1">IFERROR(__xludf.DUMMYFUNCTION("""COMPUTED_VALUE"""),"")</f>
        <v/>
      </c>
    </row>
    <row r="352" spans="2:14" ht="12.5">
      <c r="B352" s="2"/>
      <c r="C352" s="2" t="str">
        <f ca="1">IFERROR(__xludf.DUMMYFUNCTION("""COMPUTED_VALUE"""),"")</f>
        <v/>
      </c>
      <c r="D352" s="2" t="str">
        <f ca="1">IFERROR(__xludf.DUMMYFUNCTION("""COMPUTED_VALUE"""),"")</f>
        <v/>
      </c>
      <c r="E352" s="29" t="str">
        <f ca="1">IFERROR(__xludf.DUMMYFUNCTION("""COMPUTED_VALUE"""),"")</f>
        <v/>
      </c>
      <c r="F352" s="30" t="str">
        <f ca="1">IFERROR(__xludf.DUMMYFUNCTION("""COMPUTED_VALUE"""),"")</f>
        <v/>
      </c>
      <c r="G352" s="29" t="str">
        <f ca="1">IFERROR(__xludf.DUMMYFUNCTION("""COMPUTED_VALUE"""),"")</f>
        <v/>
      </c>
      <c r="H352" s="30" t="str">
        <f ca="1">IFERROR(__xludf.DUMMYFUNCTION("""COMPUTED_VALUE"""),"")</f>
        <v/>
      </c>
      <c r="I352" s="29" t="str">
        <f ca="1">IFERROR(__xludf.DUMMYFUNCTION("""COMPUTED_VALUE"""),"")</f>
        <v/>
      </c>
      <c r="J352" s="29" t="str">
        <f ca="1">IFERROR(__xludf.DUMMYFUNCTION("""COMPUTED_VALUE"""),"")</f>
        <v/>
      </c>
      <c r="K352" s="29" t="str">
        <f ca="1">IFERROR(__xludf.DUMMYFUNCTION("""COMPUTED_VALUE"""),"")</f>
        <v/>
      </c>
      <c r="L352" s="29" t="str">
        <f ca="1">IFERROR(__xludf.DUMMYFUNCTION("""COMPUTED_VALUE"""),"")</f>
        <v/>
      </c>
      <c r="M352" s="29" t="str">
        <f ca="1">IFERROR(__xludf.DUMMYFUNCTION("""COMPUTED_VALUE"""),"")</f>
        <v/>
      </c>
      <c r="N352" s="29" t="str">
        <f ca="1">IFERROR(__xludf.DUMMYFUNCTION("""COMPUTED_VALUE"""),"")</f>
        <v/>
      </c>
    </row>
    <row r="353" spans="2:14" ht="12.5">
      <c r="B353" s="2"/>
      <c r="C353" s="2" t="str">
        <f ca="1">IFERROR(__xludf.DUMMYFUNCTION("""COMPUTED_VALUE"""),"")</f>
        <v/>
      </c>
      <c r="D353" s="2" t="str">
        <f ca="1">IFERROR(__xludf.DUMMYFUNCTION("""COMPUTED_VALUE"""),"")</f>
        <v/>
      </c>
      <c r="E353" s="29" t="str">
        <f ca="1">IFERROR(__xludf.DUMMYFUNCTION("""COMPUTED_VALUE"""),"")</f>
        <v/>
      </c>
      <c r="F353" s="30" t="str">
        <f ca="1">IFERROR(__xludf.DUMMYFUNCTION("""COMPUTED_VALUE"""),"")</f>
        <v/>
      </c>
      <c r="G353" s="29" t="str">
        <f ca="1">IFERROR(__xludf.DUMMYFUNCTION("""COMPUTED_VALUE"""),"")</f>
        <v/>
      </c>
      <c r="H353" s="30" t="str">
        <f ca="1">IFERROR(__xludf.DUMMYFUNCTION("""COMPUTED_VALUE"""),"")</f>
        <v/>
      </c>
      <c r="I353" s="29" t="str">
        <f ca="1">IFERROR(__xludf.DUMMYFUNCTION("""COMPUTED_VALUE"""),"")</f>
        <v/>
      </c>
      <c r="J353" s="29" t="str">
        <f ca="1">IFERROR(__xludf.DUMMYFUNCTION("""COMPUTED_VALUE"""),"")</f>
        <v/>
      </c>
      <c r="K353" s="29" t="str">
        <f ca="1">IFERROR(__xludf.DUMMYFUNCTION("""COMPUTED_VALUE"""),"")</f>
        <v/>
      </c>
      <c r="L353" s="29" t="str">
        <f ca="1">IFERROR(__xludf.DUMMYFUNCTION("""COMPUTED_VALUE"""),"")</f>
        <v/>
      </c>
      <c r="M353" s="29" t="str">
        <f ca="1">IFERROR(__xludf.DUMMYFUNCTION("""COMPUTED_VALUE"""),"")</f>
        <v/>
      </c>
      <c r="N353" s="29" t="str">
        <f ca="1">IFERROR(__xludf.DUMMYFUNCTION("""COMPUTED_VALUE"""),"")</f>
        <v/>
      </c>
    </row>
    <row r="354" spans="2:14" ht="12.5">
      <c r="B354" s="2"/>
      <c r="C354" s="2" t="str">
        <f ca="1">IFERROR(__xludf.DUMMYFUNCTION("""COMPUTED_VALUE"""),"")</f>
        <v/>
      </c>
      <c r="D354" s="2" t="str">
        <f ca="1">IFERROR(__xludf.DUMMYFUNCTION("""COMPUTED_VALUE"""),"")</f>
        <v/>
      </c>
      <c r="E354" s="29" t="str">
        <f ca="1">IFERROR(__xludf.DUMMYFUNCTION("""COMPUTED_VALUE"""),"")</f>
        <v/>
      </c>
      <c r="F354" s="30" t="str">
        <f ca="1">IFERROR(__xludf.DUMMYFUNCTION("""COMPUTED_VALUE"""),"")</f>
        <v/>
      </c>
      <c r="G354" s="29" t="str">
        <f ca="1">IFERROR(__xludf.DUMMYFUNCTION("""COMPUTED_VALUE"""),"")</f>
        <v/>
      </c>
      <c r="H354" s="30" t="str">
        <f ca="1">IFERROR(__xludf.DUMMYFUNCTION("""COMPUTED_VALUE"""),"")</f>
        <v/>
      </c>
      <c r="I354" s="29" t="str">
        <f ca="1">IFERROR(__xludf.DUMMYFUNCTION("""COMPUTED_VALUE"""),"")</f>
        <v/>
      </c>
      <c r="J354" s="29" t="str">
        <f ca="1">IFERROR(__xludf.DUMMYFUNCTION("""COMPUTED_VALUE"""),"")</f>
        <v/>
      </c>
      <c r="K354" s="29" t="str">
        <f ca="1">IFERROR(__xludf.DUMMYFUNCTION("""COMPUTED_VALUE"""),"")</f>
        <v/>
      </c>
      <c r="L354" s="29" t="str">
        <f ca="1">IFERROR(__xludf.DUMMYFUNCTION("""COMPUTED_VALUE"""),"")</f>
        <v/>
      </c>
      <c r="M354" s="29" t="str">
        <f ca="1">IFERROR(__xludf.DUMMYFUNCTION("""COMPUTED_VALUE"""),"")</f>
        <v/>
      </c>
      <c r="N354" s="29" t="str">
        <f ca="1">IFERROR(__xludf.DUMMYFUNCTION("""COMPUTED_VALUE"""),"")</f>
        <v/>
      </c>
    </row>
    <row r="355" spans="2:14" ht="12.5">
      <c r="B355" s="2"/>
      <c r="C355" s="2" t="str">
        <f ca="1">IFERROR(__xludf.DUMMYFUNCTION("""COMPUTED_VALUE"""),"")</f>
        <v/>
      </c>
      <c r="D355" s="2" t="str">
        <f ca="1">IFERROR(__xludf.DUMMYFUNCTION("""COMPUTED_VALUE"""),"")</f>
        <v/>
      </c>
      <c r="E355" s="29" t="str">
        <f ca="1">IFERROR(__xludf.DUMMYFUNCTION("""COMPUTED_VALUE"""),"")</f>
        <v/>
      </c>
      <c r="F355" s="30" t="str">
        <f ca="1">IFERROR(__xludf.DUMMYFUNCTION("""COMPUTED_VALUE"""),"")</f>
        <v/>
      </c>
      <c r="G355" s="29" t="str">
        <f ca="1">IFERROR(__xludf.DUMMYFUNCTION("""COMPUTED_VALUE"""),"")</f>
        <v/>
      </c>
      <c r="H355" s="30" t="str">
        <f ca="1">IFERROR(__xludf.DUMMYFUNCTION("""COMPUTED_VALUE"""),"")</f>
        <v/>
      </c>
      <c r="I355" s="29" t="str">
        <f ca="1">IFERROR(__xludf.DUMMYFUNCTION("""COMPUTED_VALUE"""),"")</f>
        <v/>
      </c>
      <c r="J355" s="29" t="str">
        <f ca="1">IFERROR(__xludf.DUMMYFUNCTION("""COMPUTED_VALUE"""),"")</f>
        <v/>
      </c>
      <c r="K355" s="29" t="str">
        <f ca="1">IFERROR(__xludf.DUMMYFUNCTION("""COMPUTED_VALUE"""),"")</f>
        <v/>
      </c>
      <c r="L355" s="29" t="str">
        <f ca="1">IFERROR(__xludf.DUMMYFUNCTION("""COMPUTED_VALUE"""),"")</f>
        <v/>
      </c>
      <c r="M355" s="29" t="str">
        <f ca="1">IFERROR(__xludf.DUMMYFUNCTION("""COMPUTED_VALUE"""),"")</f>
        <v/>
      </c>
      <c r="N355" s="29" t="str">
        <f ca="1">IFERROR(__xludf.DUMMYFUNCTION("""COMPUTED_VALUE"""),"")</f>
        <v/>
      </c>
    </row>
    <row r="356" spans="2:14" ht="12.5">
      <c r="B356" s="2"/>
      <c r="C356" s="2" t="str">
        <f ca="1">IFERROR(__xludf.DUMMYFUNCTION("""COMPUTED_VALUE"""),"")</f>
        <v/>
      </c>
      <c r="D356" s="2" t="str">
        <f ca="1">IFERROR(__xludf.DUMMYFUNCTION("""COMPUTED_VALUE"""),"")</f>
        <v/>
      </c>
      <c r="E356" s="29" t="str">
        <f ca="1">IFERROR(__xludf.DUMMYFUNCTION("""COMPUTED_VALUE"""),"")</f>
        <v/>
      </c>
      <c r="F356" s="30" t="str">
        <f ca="1">IFERROR(__xludf.DUMMYFUNCTION("""COMPUTED_VALUE"""),"")</f>
        <v/>
      </c>
      <c r="G356" s="29" t="str">
        <f ca="1">IFERROR(__xludf.DUMMYFUNCTION("""COMPUTED_VALUE"""),"")</f>
        <v/>
      </c>
      <c r="H356" s="30" t="str">
        <f ca="1">IFERROR(__xludf.DUMMYFUNCTION("""COMPUTED_VALUE"""),"")</f>
        <v/>
      </c>
      <c r="I356" s="29" t="str">
        <f ca="1">IFERROR(__xludf.DUMMYFUNCTION("""COMPUTED_VALUE"""),"")</f>
        <v/>
      </c>
      <c r="J356" s="29" t="str">
        <f ca="1">IFERROR(__xludf.DUMMYFUNCTION("""COMPUTED_VALUE"""),"")</f>
        <v/>
      </c>
      <c r="K356" s="29" t="str">
        <f ca="1">IFERROR(__xludf.DUMMYFUNCTION("""COMPUTED_VALUE"""),"")</f>
        <v/>
      </c>
      <c r="L356" s="29" t="str">
        <f ca="1">IFERROR(__xludf.DUMMYFUNCTION("""COMPUTED_VALUE"""),"")</f>
        <v/>
      </c>
      <c r="M356" s="29" t="str">
        <f ca="1">IFERROR(__xludf.DUMMYFUNCTION("""COMPUTED_VALUE"""),"")</f>
        <v/>
      </c>
      <c r="N356" s="29" t="str">
        <f ca="1">IFERROR(__xludf.DUMMYFUNCTION("""COMPUTED_VALUE"""),"")</f>
        <v/>
      </c>
    </row>
    <row r="357" spans="2:14" ht="12.5">
      <c r="B357" s="2"/>
      <c r="C357" s="2" t="str">
        <f ca="1">IFERROR(__xludf.DUMMYFUNCTION("""COMPUTED_VALUE"""),"")</f>
        <v/>
      </c>
      <c r="D357" s="2" t="str">
        <f ca="1">IFERROR(__xludf.DUMMYFUNCTION("""COMPUTED_VALUE"""),"")</f>
        <v/>
      </c>
      <c r="E357" s="29" t="str">
        <f ca="1">IFERROR(__xludf.DUMMYFUNCTION("""COMPUTED_VALUE"""),"")</f>
        <v/>
      </c>
      <c r="F357" s="30" t="str">
        <f ca="1">IFERROR(__xludf.DUMMYFUNCTION("""COMPUTED_VALUE"""),"")</f>
        <v/>
      </c>
      <c r="G357" s="29" t="str">
        <f ca="1">IFERROR(__xludf.DUMMYFUNCTION("""COMPUTED_VALUE"""),"")</f>
        <v/>
      </c>
      <c r="H357" s="30" t="str">
        <f ca="1">IFERROR(__xludf.DUMMYFUNCTION("""COMPUTED_VALUE"""),"")</f>
        <v/>
      </c>
      <c r="I357" s="29" t="str">
        <f ca="1">IFERROR(__xludf.DUMMYFUNCTION("""COMPUTED_VALUE"""),"")</f>
        <v/>
      </c>
      <c r="J357" s="29" t="str">
        <f ca="1">IFERROR(__xludf.DUMMYFUNCTION("""COMPUTED_VALUE"""),"")</f>
        <v/>
      </c>
      <c r="K357" s="29" t="str">
        <f ca="1">IFERROR(__xludf.DUMMYFUNCTION("""COMPUTED_VALUE"""),"")</f>
        <v/>
      </c>
      <c r="L357" s="29" t="str">
        <f ca="1">IFERROR(__xludf.DUMMYFUNCTION("""COMPUTED_VALUE"""),"")</f>
        <v/>
      </c>
      <c r="M357" s="29" t="str">
        <f ca="1">IFERROR(__xludf.DUMMYFUNCTION("""COMPUTED_VALUE"""),"")</f>
        <v/>
      </c>
      <c r="N357" s="29" t="str">
        <f ca="1">IFERROR(__xludf.DUMMYFUNCTION("""COMPUTED_VALUE"""),"")</f>
        <v/>
      </c>
    </row>
    <row r="358" spans="2:14" ht="12.5">
      <c r="B358" s="2"/>
      <c r="C358" s="2" t="str">
        <f ca="1">IFERROR(__xludf.DUMMYFUNCTION("""COMPUTED_VALUE"""),"")</f>
        <v/>
      </c>
      <c r="D358" s="2" t="str">
        <f ca="1">IFERROR(__xludf.DUMMYFUNCTION("""COMPUTED_VALUE"""),"")</f>
        <v/>
      </c>
      <c r="E358" s="29" t="str">
        <f ca="1">IFERROR(__xludf.DUMMYFUNCTION("""COMPUTED_VALUE"""),"")</f>
        <v/>
      </c>
      <c r="F358" s="30" t="str">
        <f ca="1">IFERROR(__xludf.DUMMYFUNCTION("""COMPUTED_VALUE"""),"")</f>
        <v/>
      </c>
      <c r="G358" s="29" t="str">
        <f ca="1">IFERROR(__xludf.DUMMYFUNCTION("""COMPUTED_VALUE"""),"")</f>
        <v/>
      </c>
      <c r="H358" s="30" t="str">
        <f ca="1">IFERROR(__xludf.DUMMYFUNCTION("""COMPUTED_VALUE"""),"")</f>
        <v/>
      </c>
      <c r="I358" s="29" t="str">
        <f ca="1">IFERROR(__xludf.DUMMYFUNCTION("""COMPUTED_VALUE"""),"")</f>
        <v/>
      </c>
      <c r="J358" s="29" t="str">
        <f ca="1">IFERROR(__xludf.DUMMYFUNCTION("""COMPUTED_VALUE"""),"")</f>
        <v/>
      </c>
      <c r="K358" s="29" t="str">
        <f ca="1">IFERROR(__xludf.DUMMYFUNCTION("""COMPUTED_VALUE"""),"")</f>
        <v/>
      </c>
      <c r="L358" s="29" t="str">
        <f ca="1">IFERROR(__xludf.DUMMYFUNCTION("""COMPUTED_VALUE"""),"")</f>
        <v/>
      </c>
      <c r="M358" s="29" t="str">
        <f ca="1">IFERROR(__xludf.DUMMYFUNCTION("""COMPUTED_VALUE"""),"")</f>
        <v/>
      </c>
      <c r="N358" s="29" t="str">
        <f ca="1">IFERROR(__xludf.DUMMYFUNCTION("""COMPUTED_VALUE"""),"")</f>
        <v/>
      </c>
    </row>
    <row r="359" spans="2:14" ht="12.5">
      <c r="B359" s="2"/>
      <c r="C359" s="2" t="str">
        <f ca="1">IFERROR(__xludf.DUMMYFUNCTION("""COMPUTED_VALUE"""),"")</f>
        <v/>
      </c>
      <c r="D359" s="2" t="str">
        <f ca="1">IFERROR(__xludf.DUMMYFUNCTION("""COMPUTED_VALUE"""),"")</f>
        <v/>
      </c>
      <c r="E359" s="29" t="str">
        <f ca="1">IFERROR(__xludf.DUMMYFUNCTION("""COMPUTED_VALUE"""),"")</f>
        <v/>
      </c>
      <c r="F359" s="30" t="str">
        <f ca="1">IFERROR(__xludf.DUMMYFUNCTION("""COMPUTED_VALUE"""),"")</f>
        <v/>
      </c>
      <c r="G359" s="29" t="str">
        <f ca="1">IFERROR(__xludf.DUMMYFUNCTION("""COMPUTED_VALUE"""),"")</f>
        <v/>
      </c>
      <c r="H359" s="30" t="str">
        <f ca="1">IFERROR(__xludf.DUMMYFUNCTION("""COMPUTED_VALUE"""),"")</f>
        <v/>
      </c>
      <c r="I359" s="29" t="str">
        <f ca="1">IFERROR(__xludf.DUMMYFUNCTION("""COMPUTED_VALUE"""),"")</f>
        <v/>
      </c>
      <c r="J359" s="29" t="str">
        <f ca="1">IFERROR(__xludf.DUMMYFUNCTION("""COMPUTED_VALUE"""),"")</f>
        <v/>
      </c>
      <c r="K359" s="29" t="str">
        <f ca="1">IFERROR(__xludf.DUMMYFUNCTION("""COMPUTED_VALUE"""),"")</f>
        <v/>
      </c>
      <c r="L359" s="29" t="str">
        <f ca="1">IFERROR(__xludf.DUMMYFUNCTION("""COMPUTED_VALUE"""),"")</f>
        <v/>
      </c>
      <c r="M359" s="29" t="str">
        <f ca="1">IFERROR(__xludf.DUMMYFUNCTION("""COMPUTED_VALUE"""),"")</f>
        <v/>
      </c>
      <c r="N359" s="29" t="str">
        <f ca="1">IFERROR(__xludf.DUMMYFUNCTION("""COMPUTED_VALUE"""),"")</f>
        <v/>
      </c>
    </row>
    <row r="360" spans="2:14" ht="12.5">
      <c r="B360" s="2"/>
      <c r="C360" s="2" t="str">
        <f ca="1">IFERROR(__xludf.DUMMYFUNCTION("""COMPUTED_VALUE"""),"")</f>
        <v/>
      </c>
      <c r="D360" s="2" t="str">
        <f ca="1">IFERROR(__xludf.DUMMYFUNCTION("""COMPUTED_VALUE"""),"")</f>
        <v/>
      </c>
      <c r="E360" s="29" t="str">
        <f ca="1">IFERROR(__xludf.DUMMYFUNCTION("""COMPUTED_VALUE"""),"")</f>
        <v/>
      </c>
      <c r="F360" s="30" t="str">
        <f ca="1">IFERROR(__xludf.DUMMYFUNCTION("""COMPUTED_VALUE"""),"")</f>
        <v/>
      </c>
      <c r="G360" s="29" t="str">
        <f ca="1">IFERROR(__xludf.DUMMYFUNCTION("""COMPUTED_VALUE"""),"")</f>
        <v/>
      </c>
      <c r="H360" s="30" t="str">
        <f ca="1">IFERROR(__xludf.DUMMYFUNCTION("""COMPUTED_VALUE"""),"")</f>
        <v/>
      </c>
      <c r="I360" s="29" t="str">
        <f ca="1">IFERROR(__xludf.DUMMYFUNCTION("""COMPUTED_VALUE"""),"")</f>
        <v/>
      </c>
      <c r="J360" s="29" t="str">
        <f ca="1">IFERROR(__xludf.DUMMYFUNCTION("""COMPUTED_VALUE"""),"")</f>
        <v/>
      </c>
      <c r="K360" s="29" t="str">
        <f ca="1">IFERROR(__xludf.DUMMYFUNCTION("""COMPUTED_VALUE"""),"")</f>
        <v/>
      </c>
      <c r="L360" s="29" t="str">
        <f ca="1">IFERROR(__xludf.DUMMYFUNCTION("""COMPUTED_VALUE"""),"")</f>
        <v/>
      </c>
      <c r="M360" s="29" t="str">
        <f ca="1">IFERROR(__xludf.DUMMYFUNCTION("""COMPUTED_VALUE"""),"")</f>
        <v/>
      </c>
      <c r="N360" s="29" t="str">
        <f ca="1">IFERROR(__xludf.DUMMYFUNCTION("""COMPUTED_VALUE"""),"")</f>
        <v/>
      </c>
    </row>
    <row r="361" spans="2:14" ht="12.5">
      <c r="B361" s="2"/>
      <c r="C361" s="2" t="str">
        <f ca="1">IFERROR(__xludf.DUMMYFUNCTION("""COMPUTED_VALUE"""),"")</f>
        <v/>
      </c>
      <c r="D361" s="2" t="str">
        <f ca="1">IFERROR(__xludf.DUMMYFUNCTION("""COMPUTED_VALUE"""),"")</f>
        <v/>
      </c>
      <c r="E361" s="29" t="str">
        <f ca="1">IFERROR(__xludf.DUMMYFUNCTION("""COMPUTED_VALUE"""),"")</f>
        <v/>
      </c>
      <c r="F361" s="30" t="str">
        <f ca="1">IFERROR(__xludf.DUMMYFUNCTION("""COMPUTED_VALUE"""),"")</f>
        <v/>
      </c>
      <c r="G361" s="29" t="str">
        <f ca="1">IFERROR(__xludf.DUMMYFUNCTION("""COMPUTED_VALUE"""),"")</f>
        <v/>
      </c>
      <c r="H361" s="30" t="str">
        <f ca="1">IFERROR(__xludf.DUMMYFUNCTION("""COMPUTED_VALUE"""),"")</f>
        <v/>
      </c>
      <c r="I361" s="29" t="str">
        <f ca="1">IFERROR(__xludf.DUMMYFUNCTION("""COMPUTED_VALUE"""),"")</f>
        <v/>
      </c>
      <c r="J361" s="29" t="str">
        <f ca="1">IFERROR(__xludf.DUMMYFUNCTION("""COMPUTED_VALUE"""),"")</f>
        <v/>
      </c>
      <c r="K361" s="29" t="str">
        <f ca="1">IFERROR(__xludf.DUMMYFUNCTION("""COMPUTED_VALUE"""),"")</f>
        <v/>
      </c>
      <c r="L361" s="29" t="str">
        <f ca="1">IFERROR(__xludf.DUMMYFUNCTION("""COMPUTED_VALUE"""),"")</f>
        <v/>
      </c>
      <c r="M361" s="29" t="str">
        <f ca="1">IFERROR(__xludf.DUMMYFUNCTION("""COMPUTED_VALUE"""),"")</f>
        <v/>
      </c>
      <c r="N361" s="29" t="str">
        <f ca="1">IFERROR(__xludf.DUMMYFUNCTION("""COMPUTED_VALUE"""),"")</f>
        <v/>
      </c>
    </row>
    <row r="362" spans="2:14" ht="12.5">
      <c r="B362" s="2"/>
      <c r="C362" s="2" t="str">
        <f ca="1">IFERROR(__xludf.DUMMYFUNCTION("""COMPUTED_VALUE"""),"")</f>
        <v/>
      </c>
      <c r="D362" s="2" t="str">
        <f ca="1">IFERROR(__xludf.DUMMYFUNCTION("""COMPUTED_VALUE"""),"")</f>
        <v/>
      </c>
      <c r="E362" s="29" t="str">
        <f ca="1">IFERROR(__xludf.DUMMYFUNCTION("""COMPUTED_VALUE"""),"")</f>
        <v/>
      </c>
      <c r="F362" s="30" t="str">
        <f ca="1">IFERROR(__xludf.DUMMYFUNCTION("""COMPUTED_VALUE"""),"")</f>
        <v/>
      </c>
      <c r="G362" s="29" t="str">
        <f ca="1">IFERROR(__xludf.DUMMYFUNCTION("""COMPUTED_VALUE"""),"")</f>
        <v/>
      </c>
      <c r="H362" s="30" t="str">
        <f ca="1">IFERROR(__xludf.DUMMYFUNCTION("""COMPUTED_VALUE"""),"")</f>
        <v/>
      </c>
      <c r="I362" s="29" t="str">
        <f ca="1">IFERROR(__xludf.DUMMYFUNCTION("""COMPUTED_VALUE"""),"")</f>
        <v/>
      </c>
      <c r="J362" s="29" t="str">
        <f ca="1">IFERROR(__xludf.DUMMYFUNCTION("""COMPUTED_VALUE"""),"")</f>
        <v/>
      </c>
      <c r="K362" s="29" t="str">
        <f ca="1">IFERROR(__xludf.DUMMYFUNCTION("""COMPUTED_VALUE"""),"")</f>
        <v/>
      </c>
      <c r="L362" s="29" t="str">
        <f ca="1">IFERROR(__xludf.DUMMYFUNCTION("""COMPUTED_VALUE"""),"")</f>
        <v/>
      </c>
      <c r="M362" s="29" t="str">
        <f ca="1">IFERROR(__xludf.DUMMYFUNCTION("""COMPUTED_VALUE"""),"")</f>
        <v/>
      </c>
      <c r="N362" s="29" t="str">
        <f ca="1">IFERROR(__xludf.DUMMYFUNCTION("""COMPUTED_VALUE"""),"")</f>
        <v/>
      </c>
    </row>
    <row r="363" spans="2:14" ht="12.5">
      <c r="B363" s="2"/>
      <c r="C363" s="2" t="str">
        <f ca="1">IFERROR(__xludf.DUMMYFUNCTION("""COMPUTED_VALUE"""),"")</f>
        <v/>
      </c>
      <c r="D363" s="2" t="str">
        <f ca="1">IFERROR(__xludf.DUMMYFUNCTION("""COMPUTED_VALUE"""),"")</f>
        <v/>
      </c>
      <c r="E363" s="29" t="str">
        <f ca="1">IFERROR(__xludf.DUMMYFUNCTION("""COMPUTED_VALUE"""),"")</f>
        <v/>
      </c>
      <c r="F363" s="30" t="str">
        <f ca="1">IFERROR(__xludf.DUMMYFUNCTION("""COMPUTED_VALUE"""),"")</f>
        <v/>
      </c>
      <c r="G363" s="29" t="str">
        <f ca="1">IFERROR(__xludf.DUMMYFUNCTION("""COMPUTED_VALUE"""),"")</f>
        <v/>
      </c>
      <c r="H363" s="30" t="str">
        <f ca="1">IFERROR(__xludf.DUMMYFUNCTION("""COMPUTED_VALUE"""),"")</f>
        <v/>
      </c>
      <c r="I363" s="29" t="str">
        <f ca="1">IFERROR(__xludf.DUMMYFUNCTION("""COMPUTED_VALUE"""),"")</f>
        <v/>
      </c>
      <c r="J363" s="29" t="str">
        <f ca="1">IFERROR(__xludf.DUMMYFUNCTION("""COMPUTED_VALUE"""),"")</f>
        <v/>
      </c>
      <c r="K363" s="29" t="str">
        <f ca="1">IFERROR(__xludf.DUMMYFUNCTION("""COMPUTED_VALUE"""),"")</f>
        <v/>
      </c>
      <c r="L363" s="29" t="str">
        <f ca="1">IFERROR(__xludf.DUMMYFUNCTION("""COMPUTED_VALUE"""),"")</f>
        <v/>
      </c>
      <c r="M363" s="29" t="str">
        <f ca="1">IFERROR(__xludf.DUMMYFUNCTION("""COMPUTED_VALUE"""),"")</f>
        <v/>
      </c>
      <c r="N363" s="29" t="str">
        <f ca="1">IFERROR(__xludf.DUMMYFUNCTION("""COMPUTED_VALUE"""),"")</f>
        <v/>
      </c>
    </row>
    <row r="364" spans="2:14" ht="12.5">
      <c r="B364" s="2"/>
      <c r="C364" s="2" t="str">
        <f ca="1">IFERROR(__xludf.DUMMYFUNCTION("""COMPUTED_VALUE"""),"")</f>
        <v/>
      </c>
      <c r="D364" s="2" t="str">
        <f ca="1">IFERROR(__xludf.DUMMYFUNCTION("""COMPUTED_VALUE"""),"")</f>
        <v/>
      </c>
      <c r="E364" s="29" t="str">
        <f ca="1">IFERROR(__xludf.DUMMYFUNCTION("""COMPUTED_VALUE"""),"")</f>
        <v/>
      </c>
      <c r="F364" s="30" t="str">
        <f ca="1">IFERROR(__xludf.DUMMYFUNCTION("""COMPUTED_VALUE"""),"")</f>
        <v/>
      </c>
      <c r="G364" s="29" t="str">
        <f ca="1">IFERROR(__xludf.DUMMYFUNCTION("""COMPUTED_VALUE"""),"")</f>
        <v/>
      </c>
      <c r="H364" s="30" t="str">
        <f ca="1">IFERROR(__xludf.DUMMYFUNCTION("""COMPUTED_VALUE"""),"")</f>
        <v/>
      </c>
      <c r="I364" s="29" t="str">
        <f ca="1">IFERROR(__xludf.DUMMYFUNCTION("""COMPUTED_VALUE"""),"")</f>
        <v/>
      </c>
      <c r="J364" s="29" t="str">
        <f ca="1">IFERROR(__xludf.DUMMYFUNCTION("""COMPUTED_VALUE"""),"")</f>
        <v/>
      </c>
      <c r="K364" s="29" t="str">
        <f ca="1">IFERROR(__xludf.DUMMYFUNCTION("""COMPUTED_VALUE"""),"")</f>
        <v/>
      </c>
      <c r="L364" s="29" t="str">
        <f ca="1">IFERROR(__xludf.DUMMYFUNCTION("""COMPUTED_VALUE"""),"")</f>
        <v/>
      </c>
      <c r="M364" s="29" t="str">
        <f ca="1">IFERROR(__xludf.DUMMYFUNCTION("""COMPUTED_VALUE"""),"")</f>
        <v/>
      </c>
      <c r="N364" s="29" t="str">
        <f ca="1">IFERROR(__xludf.DUMMYFUNCTION("""COMPUTED_VALUE"""),"")</f>
        <v/>
      </c>
    </row>
    <row r="365" spans="2:14" ht="12.5">
      <c r="B365" s="2"/>
      <c r="C365" s="2" t="str">
        <f ca="1">IFERROR(__xludf.DUMMYFUNCTION("""COMPUTED_VALUE"""),"")</f>
        <v/>
      </c>
      <c r="D365" s="2" t="str">
        <f ca="1">IFERROR(__xludf.DUMMYFUNCTION("""COMPUTED_VALUE"""),"")</f>
        <v/>
      </c>
      <c r="E365" s="29" t="str">
        <f ca="1">IFERROR(__xludf.DUMMYFUNCTION("""COMPUTED_VALUE"""),"")</f>
        <v/>
      </c>
      <c r="F365" s="30" t="str">
        <f ca="1">IFERROR(__xludf.DUMMYFUNCTION("""COMPUTED_VALUE"""),"")</f>
        <v/>
      </c>
      <c r="G365" s="29" t="str">
        <f ca="1">IFERROR(__xludf.DUMMYFUNCTION("""COMPUTED_VALUE"""),"")</f>
        <v/>
      </c>
      <c r="H365" s="30" t="str">
        <f ca="1">IFERROR(__xludf.DUMMYFUNCTION("""COMPUTED_VALUE"""),"")</f>
        <v/>
      </c>
      <c r="I365" s="29" t="str">
        <f ca="1">IFERROR(__xludf.DUMMYFUNCTION("""COMPUTED_VALUE"""),"")</f>
        <v/>
      </c>
      <c r="J365" s="29" t="str">
        <f ca="1">IFERROR(__xludf.DUMMYFUNCTION("""COMPUTED_VALUE"""),"")</f>
        <v/>
      </c>
      <c r="K365" s="29" t="str">
        <f ca="1">IFERROR(__xludf.DUMMYFUNCTION("""COMPUTED_VALUE"""),"")</f>
        <v/>
      </c>
      <c r="L365" s="29" t="str">
        <f ca="1">IFERROR(__xludf.DUMMYFUNCTION("""COMPUTED_VALUE"""),"")</f>
        <v/>
      </c>
      <c r="M365" s="29" t="str">
        <f ca="1">IFERROR(__xludf.DUMMYFUNCTION("""COMPUTED_VALUE"""),"")</f>
        <v/>
      </c>
      <c r="N365" s="29" t="str">
        <f ca="1">IFERROR(__xludf.DUMMYFUNCTION("""COMPUTED_VALUE"""),"")</f>
        <v/>
      </c>
    </row>
    <row r="366" spans="2:14" ht="12.5">
      <c r="B366" s="2"/>
      <c r="C366" s="2" t="str">
        <f ca="1">IFERROR(__xludf.DUMMYFUNCTION("""COMPUTED_VALUE"""),"")</f>
        <v/>
      </c>
      <c r="D366" s="2" t="str">
        <f ca="1">IFERROR(__xludf.DUMMYFUNCTION("""COMPUTED_VALUE"""),"")</f>
        <v/>
      </c>
      <c r="E366" s="29" t="str">
        <f ca="1">IFERROR(__xludf.DUMMYFUNCTION("""COMPUTED_VALUE"""),"")</f>
        <v/>
      </c>
      <c r="F366" s="30" t="str">
        <f ca="1">IFERROR(__xludf.DUMMYFUNCTION("""COMPUTED_VALUE"""),"")</f>
        <v/>
      </c>
      <c r="G366" s="29" t="str">
        <f ca="1">IFERROR(__xludf.DUMMYFUNCTION("""COMPUTED_VALUE"""),"")</f>
        <v/>
      </c>
      <c r="H366" s="30" t="str">
        <f ca="1">IFERROR(__xludf.DUMMYFUNCTION("""COMPUTED_VALUE"""),"")</f>
        <v/>
      </c>
      <c r="I366" s="29" t="str">
        <f ca="1">IFERROR(__xludf.DUMMYFUNCTION("""COMPUTED_VALUE"""),"")</f>
        <v/>
      </c>
      <c r="J366" s="29" t="str">
        <f ca="1">IFERROR(__xludf.DUMMYFUNCTION("""COMPUTED_VALUE"""),"")</f>
        <v/>
      </c>
      <c r="K366" s="29" t="str">
        <f ca="1">IFERROR(__xludf.DUMMYFUNCTION("""COMPUTED_VALUE"""),"")</f>
        <v/>
      </c>
      <c r="L366" s="29" t="str">
        <f ca="1">IFERROR(__xludf.DUMMYFUNCTION("""COMPUTED_VALUE"""),"")</f>
        <v/>
      </c>
      <c r="M366" s="29" t="str">
        <f ca="1">IFERROR(__xludf.DUMMYFUNCTION("""COMPUTED_VALUE"""),"")</f>
        <v/>
      </c>
      <c r="N366" s="29" t="str">
        <f ca="1">IFERROR(__xludf.DUMMYFUNCTION("""COMPUTED_VALUE"""),"")</f>
        <v/>
      </c>
    </row>
    <row r="367" spans="2:14" ht="12.5">
      <c r="B367" s="2"/>
      <c r="C367" s="2" t="str">
        <f ca="1">IFERROR(__xludf.DUMMYFUNCTION("""COMPUTED_VALUE"""),"")</f>
        <v/>
      </c>
      <c r="D367" s="2" t="str">
        <f ca="1">IFERROR(__xludf.DUMMYFUNCTION("""COMPUTED_VALUE"""),"")</f>
        <v/>
      </c>
      <c r="E367" s="29" t="str">
        <f ca="1">IFERROR(__xludf.DUMMYFUNCTION("""COMPUTED_VALUE"""),"")</f>
        <v/>
      </c>
      <c r="F367" s="30" t="str">
        <f ca="1">IFERROR(__xludf.DUMMYFUNCTION("""COMPUTED_VALUE"""),"")</f>
        <v/>
      </c>
      <c r="G367" s="29" t="str">
        <f ca="1">IFERROR(__xludf.DUMMYFUNCTION("""COMPUTED_VALUE"""),"")</f>
        <v/>
      </c>
      <c r="H367" s="30" t="str">
        <f ca="1">IFERROR(__xludf.DUMMYFUNCTION("""COMPUTED_VALUE"""),"")</f>
        <v/>
      </c>
      <c r="I367" s="29" t="str">
        <f ca="1">IFERROR(__xludf.DUMMYFUNCTION("""COMPUTED_VALUE"""),"")</f>
        <v/>
      </c>
      <c r="J367" s="29" t="str">
        <f ca="1">IFERROR(__xludf.DUMMYFUNCTION("""COMPUTED_VALUE"""),"")</f>
        <v/>
      </c>
      <c r="K367" s="29" t="str">
        <f ca="1">IFERROR(__xludf.DUMMYFUNCTION("""COMPUTED_VALUE"""),"")</f>
        <v/>
      </c>
      <c r="L367" s="29" t="str">
        <f ca="1">IFERROR(__xludf.DUMMYFUNCTION("""COMPUTED_VALUE"""),"")</f>
        <v/>
      </c>
      <c r="M367" s="29" t="str">
        <f ca="1">IFERROR(__xludf.DUMMYFUNCTION("""COMPUTED_VALUE"""),"")</f>
        <v/>
      </c>
      <c r="N367" s="29" t="str">
        <f ca="1">IFERROR(__xludf.DUMMYFUNCTION("""COMPUTED_VALUE"""),"")</f>
        <v/>
      </c>
    </row>
    <row r="368" spans="2:14" ht="12.5">
      <c r="B368" s="2"/>
      <c r="C368" s="2" t="str">
        <f ca="1">IFERROR(__xludf.DUMMYFUNCTION("""COMPUTED_VALUE"""),"")</f>
        <v/>
      </c>
      <c r="D368" s="2" t="str">
        <f ca="1">IFERROR(__xludf.DUMMYFUNCTION("""COMPUTED_VALUE"""),"")</f>
        <v/>
      </c>
      <c r="E368" s="29" t="str">
        <f ca="1">IFERROR(__xludf.DUMMYFUNCTION("""COMPUTED_VALUE"""),"")</f>
        <v/>
      </c>
      <c r="F368" s="30" t="str">
        <f ca="1">IFERROR(__xludf.DUMMYFUNCTION("""COMPUTED_VALUE"""),"")</f>
        <v/>
      </c>
      <c r="G368" s="29" t="str">
        <f ca="1">IFERROR(__xludf.DUMMYFUNCTION("""COMPUTED_VALUE"""),"")</f>
        <v/>
      </c>
      <c r="H368" s="30" t="str">
        <f ca="1">IFERROR(__xludf.DUMMYFUNCTION("""COMPUTED_VALUE"""),"")</f>
        <v/>
      </c>
      <c r="I368" s="29" t="str">
        <f ca="1">IFERROR(__xludf.DUMMYFUNCTION("""COMPUTED_VALUE"""),"")</f>
        <v/>
      </c>
      <c r="J368" s="29" t="str">
        <f ca="1">IFERROR(__xludf.DUMMYFUNCTION("""COMPUTED_VALUE"""),"")</f>
        <v/>
      </c>
      <c r="K368" s="29" t="str">
        <f ca="1">IFERROR(__xludf.DUMMYFUNCTION("""COMPUTED_VALUE"""),"")</f>
        <v/>
      </c>
      <c r="L368" s="29" t="str">
        <f ca="1">IFERROR(__xludf.DUMMYFUNCTION("""COMPUTED_VALUE"""),"")</f>
        <v/>
      </c>
      <c r="M368" s="29" t="str">
        <f ca="1">IFERROR(__xludf.DUMMYFUNCTION("""COMPUTED_VALUE"""),"")</f>
        <v/>
      </c>
      <c r="N368" s="29" t="str">
        <f ca="1">IFERROR(__xludf.DUMMYFUNCTION("""COMPUTED_VALUE"""),"")</f>
        <v/>
      </c>
    </row>
    <row r="369" spans="2:14" ht="12.5">
      <c r="B369" s="2"/>
      <c r="C369" s="2" t="str">
        <f ca="1">IFERROR(__xludf.DUMMYFUNCTION("""COMPUTED_VALUE"""),"")</f>
        <v/>
      </c>
      <c r="D369" s="2" t="str">
        <f ca="1">IFERROR(__xludf.DUMMYFUNCTION("""COMPUTED_VALUE"""),"")</f>
        <v/>
      </c>
      <c r="E369" s="29" t="str">
        <f ca="1">IFERROR(__xludf.DUMMYFUNCTION("""COMPUTED_VALUE"""),"")</f>
        <v/>
      </c>
      <c r="F369" s="30" t="str">
        <f ca="1">IFERROR(__xludf.DUMMYFUNCTION("""COMPUTED_VALUE"""),"")</f>
        <v/>
      </c>
      <c r="G369" s="29" t="str">
        <f ca="1">IFERROR(__xludf.DUMMYFUNCTION("""COMPUTED_VALUE"""),"")</f>
        <v/>
      </c>
      <c r="H369" s="30" t="str">
        <f ca="1">IFERROR(__xludf.DUMMYFUNCTION("""COMPUTED_VALUE"""),"")</f>
        <v/>
      </c>
      <c r="I369" s="29" t="str">
        <f ca="1">IFERROR(__xludf.DUMMYFUNCTION("""COMPUTED_VALUE"""),"")</f>
        <v/>
      </c>
      <c r="J369" s="29" t="str">
        <f ca="1">IFERROR(__xludf.DUMMYFUNCTION("""COMPUTED_VALUE"""),"")</f>
        <v/>
      </c>
      <c r="K369" s="29" t="str">
        <f ca="1">IFERROR(__xludf.DUMMYFUNCTION("""COMPUTED_VALUE"""),"")</f>
        <v/>
      </c>
      <c r="L369" s="29" t="str">
        <f ca="1">IFERROR(__xludf.DUMMYFUNCTION("""COMPUTED_VALUE"""),"")</f>
        <v/>
      </c>
      <c r="M369" s="29" t="str">
        <f ca="1">IFERROR(__xludf.DUMMYFUNCTION("""COMPUTED_VALUE"""),"")</f>
        <v/>
      </c>
      <c r="N369" s="29" t="str">
        <f ca="1">IFERROR(__xludf.DUMMYFUNCTION("""COMPUTED_VALUE"""),"")</f>
        <v/>
      </c>
    </row>
    <row r="370" spans="2:14" ht="12.5">
      <c r="B370" s="2"/>
      <c r="C370" s="2" t="str">
        <f ca="1">IFERROR(__xludf.DUMMYFUNCTION("""COMPUTED_VALUE"""),"")</f>
        <v/>
      </c>
      <c r="D370" s="2" t="str">
        <f ca="1">IFERROR(__xludf.DUMMYFUNCTION("""COMPUTED_VALUE"""),"")</f>
        <v/>
      </c>
      <c r="E370" s="29" t="str">
        <f ca="1">IFERROR(__xludf.DUMMYFUNCTION("""COMPUTED_VALUE"""),"")</f>
        <v/>
      </c>
      <c r="F370" s="30" t="str">
        <f ca="1">IFERROR(__xludf.DUMMYFUNCTION("""COMPUTED_VALUE"""),"")</f>
        <v/>
      </c>
      <c r="G370" s="29" t="str">
        <f ca="1">IFERROR(__xludf.DUMMYFUNCTION("""COMPUTED_VALUE"""),"")</f>
        <v/>
      </c>
      <c r="H370" s="30" t="str">
        <f ca="1">IFERROR(__xludf.DUMMYFUNCTION("""COMPUTED_VALUE"""),"")</f>
        <v/>
      </c>
      <c r="I370" s="29" t="str">
        <f ca="1">IFERROR(__xludf.DUMMYFUNCTION("""COMPUTED_VALUE"""),"")</f>
        <v/>
      </c>
      <c r="J370" s="29" t="str">
        <f ca="1">IFERROR(__xludf.DUMMYFUNCTION("""COMPUTED_VALUE"""),"")</f>
        <v/>
      </c>
      <c r="K370" s="29" t="str">
        <f ca="1">IFERROR(__xludf.DUMMYFUNCTION("""COMPUTED_VALUE"""),"")</f>
        <v/>
      </c>
      <c r="L370" s="29" t="str">
        <f ca="1">IFERROR(__xludf.DUMMYFUNCTION("""COMPUTED_VALUE"""),"")</f>
        <v/>
      </c>
      <c r="M370" s="29" t="str">
        <f ca="1">IFERROR(__xludf.DUMMYFUNCTION("""COMPUTED_VALUE"""),"")</f>
        <v/>
      </c>
      <c r="N370" s="29" t="str">
        <f ca="1">IFERROR(__xludf.DUMMYFUNCTION("""COMPUTED_VALUE"""),"")</f>
        <v/>
      </c>
    </row>
    <row r="371" spans="2:14" ht="12.5">
      <c r="B371" s="2"/>
      <c r="C371" s="2" t="str">
        <f ca="1">IFERROR(__xludf.DUMMYFUNCTION("""COMPUTED_VALUE"""),"")</f>
        <v/>
      </c>
      <c r="D371" s="2" t="str">
        <f ca="1">IFERROR(__xludf.DUMMYFUNCTION("""COMPUTED_VALUE"""),"")</f>
        <v/>
      </c>
      <c r="E371" s="29" t="str">
        <f ca="1">IFERROR(__xludf.DUMMYFUNCTION("""COMPUTED_VALUE"""),"")</f>
        <v/>
      </c>
      <c r="F371" s="30" t="str">
        <f ca="1">IFERROR(__xludf.DUMMYFUNCTION("""COMPUTED_VALUE"""),"")</f>
        <v/>
      </c>
      <c r="G371" s="29" t="str">
        <f ca="1">IFERROR(__xludf.DUMMYFUNCTION("""COMPUTED_VALUE"""),"")</f>
        <v/>
      </c>
      <c r="H371" s="30" t="str">
        <f ca="1">IFERROR(__xludf.DUMMYFUNCTION("""COMPUTED_VALUE"""),"")</f>
        <v/>
      </c>
      <c r="I371" s="29" t="str">
        <f ca="1">IFERROR(__xludf.DUMMYFUNCTION("""COMPUTED_VALUE"""),"")</f>
        <v/>
      </c>
      <c r="J371" s="29" t="str">
        <f ca="1">IFERROR(__xludf.DUMMYFUNCTION("""COMPUTED_VALUE"""),"")</f>
        <v/>
      </c>
      <c r="K371" s="29" t="str">
        <f ca="1">IFERROR(__xludf.DUMMYFUNCTION("""COMPUTED_VALUE"""),"")</f>
        <v/>
      </c>
      <c r="L371" s="29" t="str">
        <f ca="1">IFERROR(__xludf.DUMMYFUNCTION("""COMPUTED_VALUE"""),"")</f>
        <v/>
      </c>
      <c r="M371" s="29" t="str">
        <f ca="1">IFERROR(__xludf.DUMMYFUNCTION("""COMPUTED_VALUE"""),"")</f>
        <v/>
      </c>
      <c r="N371" s="29" t="str">
        <f ca="1">IFERROR(__xludf.DUMMYFUNCTION("""COMPUTED_VALUE"""),"")</f>
        <v/>
      </c>
    </row>
    <row r="372" spans="2:14" ht="12.5">
      <c r="B372" s="2"/>
      <c r="C372" s="2" t="str">
        <f ca="1">IFERROR(__xludf.DUMMYFUNCTION("""COMPUTED_VALUE"""),"")</f>
        <v/>
      </c>
      <c r="D372" s="2" t="str">
        <f ca="1">IFERROR(__xludf.DUMMYFUNCTION("""COMPUTED_VALUE"""),"")</f>
        <v/>
      </c>
      <c r="E372" s="29" t="str">
        <f ca="1">IFERROR(__xludf.DUMMYFUNCTION("""COMPUTED_VALUE"""),"")</f>
        <v/>
      </c>
      <c r="F372" s="30" t="str">
        <f ca="1">IFERROR(__xludf.DUMMYFUNCTION("""COMPUTED_VALUE"""),"")</f>
        <v/>
      </c>
      <c r="G372" s="29" t="str">
        <f ca="1">IFERROR(__xludf.DUMMYFUNCTION("""COMPUTED_VALUE"""),"")</f>
        <v/>
      </c>
      <c r="H372" s="30" t="str">
        <f ca="1">IFERROR(__xludf.DUMMYFUNCTION("""COMPUTED_VALUE"""),"")</f>
        <v/>
      </c>
      <c r="I372" s="29" t="str">
        <f ca="1">IFERROR(__xludf.DUMMYFUNCTION("""COMPUTED_VALUE"""),"")</f>
        <v/>
      </c>
      <c r="J372" s="29" t="str">
        <f ca="1">IFERROR(__xludf.DUMMYFUNCTION("""COMPUTED_VALUE"""),"")</f>
        <v/>
      </c>
      <c r="K372" s="29" t="str">
        <f ca="1">IFERROR(__xludf.DUMMYFUNCTION("""COMPUTED_VALUE"""),"")</f>
        <v/>
      </c>
      <c r="L372" s="29" t="str">
        <f ca="1">IFERROR(__xludf.DUMMYFUNCTION("""COMPUTED_VALUE"""),"")</f>
        <v/>
      </c>
      <c r="M372" s="29" t="str">
        <f ca="1">IFERROR(__xludf.DUMMYFUNCTION("""COMPUTED_VALUE"""),"")</f>
        <v/>
      </c>
      <c r="N372" s="29" t="str">
        <f ca="1">IFERROR(__xludf.DUMMYFUNCTION("""COMPUTED_VALUE"""),"")</f>
        <v/>
      </c>
    </row>
    <row r="373" spans="2:14" ht="12.5">
      <c r="B373" s="2"/>
      <c r="C373" s="2" t="str">
        <f ca="1">IFERROR(__xludf.DUMMYFUNCTION("""COMPUTED_VALUE"""),"")</f>
        <v/>
      </c>
      <c r="D373" s="2" t="str">
        <f ca="1">IFERROR(__xludf.DUMMYFUNCTION("""COMPUTED_VALUE"""),"")</f>
        <v/>
      </c>
      <c r="E373" s="29" t="str">
        <f ca="1">IFERROR(__xludf.DUMMYFUNCTION("""COMPUTED_VALUE"""),"")</f>
        <v/>
      </c>
      <c r="F373" s="30" t="str">
        <f ca="1">IFERROR(__xludf.DUMMYFUNCTION("""COMPUTED_VALUE"""),"")</f>
        <v/>
      </c>
      <c r="G373" s="29" t="str">
        <f ca="1">IFERROR(__xludf.DUMMYFUNCTION("""COMPUTED_VALUE"""),"")</f>
        <v/>
      </c>
      <c r="H373" s="30" t="str">
        <f ca="1">IFERROR(__xludf.DUMMYFUNCTION("""COMPUTED_VALUE"""),"")</f>
        <v/>
      </c>
      <c r="I373" s="29" t="str">
        <f ca="1">IFERROR(__xludf.DUMMYFUNCTION("""COMPUTED_VALUE"""),"")</f>
        <v/>
      </c>
      <c r="J373" s="29" t="str">
        <f ca="1">IFERROR(__xludf.DUMMYFUNCTION("""COMPUTED_VALUE"""),"")</f>
        <v/>
      </c>
      <c r="K373" s="29" t="str">
        <f ca="1">IFERROR(__xludf.DUMMYFUNCTION("""COMPUTED_VALUE"""),"")</f>
        <v/>
      </c>
      <c r="L373" s="29" t="str">
        <f ca="1">IFERROR(__xludf.DUMMYFUNCTION("""COMPUTED_VALUE"""),"")</f>
        <v/>
      </c>
      <c r="M373" s="29" t="str">
        <f ca="1">IFERROR(__xludf.DUMMYFUNCTION("""COMPUTED_VALUE"""),"")</f>
        <v/>
      </c>
      <c r="N373" s="29" t="str">
        <f ca="1">IFERROR(__xludf.DUMMYFUNCTION("""COMPUTED_VALUE"""),"")</f>
        <v/>
      </c>
    </row>
    <row r="374" spans="2:14" ht="12.5">
      <c r="B374" s="2"/>
      <c r="C374" s="2" t="str">
        <f ca="1">IFERROR(__xludf.DUMMYFUNCTION("""COMPUTED_VALUE"""),"")</f>
        <v/>
      </c>
      <c r="D374" s="2" t="str">
        <f ca="1">IFERROR(__xludf.DUMMYFUNCTION("""COMPUTED_VALUE"""),"")</f>
        <v/>
      </c>
      <c r="E374" s="29" t="str">
        <f ca="1">IFERROR(__xludf.DUMMYFUNCTION("""COMPUTED_VALUE"""),"")</f>
        <v/>
      </c>
      <c r="F374" s="30" t="str">
        <f ca="1">IFERROR(__xludf.DUMMYFUNCTION("""COMPUTED_VALUE"""),"")</f>
        <v/>
      </c>
      <c r="G374" s="29" t="str">
        <f ca="1">IFERROR(__xludf.DUMMYFUNCTION("""COMPUTED_VALUE"""),"")</f>
        <v/>
      </c>
      <c r="H374" s="30" t="str">
        <f ca="1">IFERROR(__xludf.DUMMYFUNCTION("""COMPUTED_VALUE"""),"")</f>
        <v/>
      </c>
      <c r="I374" s="29" t="str">
        <f ca="1">IFERROR(__xludf.DUMMYFUNCTION("""COMPUTED_VALUE"""),"")</f>
        <v/>
      </c>
      <c r="J374" s="29" t="str">
        <f ca="1">IFERROR(__xludf.DUMMYFUNCTION("""COMPUTED_VALUE"""),"")</f>
        <v/>
      </c>
      <c r="K374" s="29" t="str">
        <f ca="1">IFERROR(__xludf.DUMMYFUNCTION("""COMPUTED_VALUE"""),"")</f>
        <v/>
      </c>
      <c r="L374" s="29" t="str">
        <f ca="1">IFERROR(__xludf.DUMMYFUNCTION("""COMPUTED_VALUE"""),"")</f>
        <v/>
      </c>
      <c r="M374" s="29" t="str">
        <f ca="1">IFERROR(__xludf.DUMMYFUNCTION("""COMPUTED_VALUE"""),"")</f>
        <v/>
      </c>
      <c r="N374" s="29" t="str">
        <f ca="1">IFERROR(__xludf.DUMMYFUNCTION("""COMPUTED_VALUE"""),"")</f>
        <v/>
      </c>
    </row>
    <row r="375" spans="2:14" ht="12.5">
      <c r="B375" s="2"/>
      <c r="C375" s="2" t="str">
        <f ca="1">IFERROR(__xludf.DUMMYFUNCTION("""COMPUTED_VALUE"""),"")</f>
        <v/>
      </c>
      <c r="D375" s="2" t="str">
        <f ca="1">IFERROR(__xludf.DUMMYFUNCTION("""COMPUTED_VALUE"""),"")</f>
        <v/>
      </c>
      <c r="E375" s="29" t="str">
        <f ca="1">IFERROR(__xludf.DUMMYFUNCTION("""COMPUTED_VALUE"""),"")</f>
        <v/>
      </c>
      <c r="F375" s="30" t="str">
        <f ca="1">IFERROR(__xludf.DUMMYFUNCTION("""COMPUTED_VALUE"""),"")</f>
        <v/>
      </c>
      <c r="G375" s="29" t="str">
        <f ca="1">IFERROR(__xludf.DUMMYFUNCTION("""COMPUTED_VALUE"""),"")</f>
        <v/>
      </c>
      <c r="H375" s="30" t="str">
        <f ca="1">IFERROR(__xludf.DUMMYFUNCTION("""COMPUTED_VALUE"""),"")</f>
        <v/>
      </c>
      <c r="I375" s="29" t="str">
        <f ca="1">IFERROR(__xludf.DUMMYFUNCTION("""COMPUTED_VALUE"""),"")</f>
        <v/>
      </c>
      <c r="J375" s="29" t="str">
        <f ca="1">IFERROR(__xludf.DUMMYFUNCTION("""COMPUTED_VALUE"""),"")</f>
        <v/>
      </c>
      <c r="K375" s="29" t="str">
        <f ca="1">IFERROR(__xludf.DUMMYFUNCTION("""COMPUTED_VALUE"""),"")</f>
        <v/>
      </c>
      <c r="L375" s="29" t="str">
        <f ca="1">IFERROR(__xludf.DUMMYFUNCTION("""COMPUTED_VALUE"""),"")</f>
        <v/>
      </c>
      <c r="M375" s="29" t="str">
        <f ca="1">IFERROR(__xludf.DUMMYFUNCTION("""COMPUTED_VALUE"""),"")</f>
        <v/>
      </c>
      <c r="N375" s="29" t="str">
        <f ca="1">IFERROR(__xludf.DUMMYFUNCTION("""COMPUTED_VALUE"""),"")</f>
        <v/>
      </c>
    </row>
    <row r="376" spans="2:14" ht="12.5">
      <c r="B376" s="2"/>
      <c r="C376" s="2" t="str">
        <f ca="1">IFERROR(__xludf.DUMMYFUNCTION("""COMPUTED_VALUE"""),"")</f>
        <v/>
      </c>
      <c r="D376" s="2" t="str">
        <f ca="1">IFERROR(__xludf.DUMMYFUNCTION("""COMPUTED_VALUE"""),"")</f>
        <v/>
      </c>
      <c r="E376" s="29" t="str">
        <f ca="1">IFERROR(__xludf.DUMMYFUNCTION("""COMPUTED_VALUE"""),"")</f>
        <v/>
      </c>
      <c r="F376" s="30" t="str">
        <f ca="1">IFERROR(__xludf.DUMMYFUNCTION("""COMPUTED_VALUE"""),"")</f>
        <v/>
      </c>
      <c r="G376" s="29" t="str">
        <f ca="1">IFERROR(__xludf.DUMMYFUNCTION("""COMPUTED_VALUE"""),"")</f>
        <v/>
      </c>
      <c r="H376" s="30" t="str">
        <f ca="1">IFERROR(__xludf.DUMMYFUNCTION("""COMPUTED_VALUE"""),"")</f>
        <v/>
      </c>
      <c r="I376" s="29" t="str">
        <f ca="1">IFERROR(__xludf.DUMMYFUNCTION("""COMPUTED_VALUE"""),"")</f>
        <v/>
      </c>
      <c r="J376" s="29" t="str">
        <f ca="1">IFERROR(__xludf.DUMMYFUNCTION("""COMPUTED_VALUE"""),"")</f>
        <v/>
      </c>
      <c r="K376" s="29" t="str">
        <f ca="1">IFERROR(__xludf.DUMMYFUNCTION("""COMPUTED_VALUE"""),"")</f>
        <v/>
      </c>
      <c r="L376" s="29" t="str">
        <f ca="1">IFERROR(__xludf.DUMMYFUNCTION("""COMPUTED_VALUE"""),"")</f>
        <v/>
      </c>
      <c r="M376" s="29" t="str">
        <f ca="1">IFERROR(__xludf.DUMMYFUNCTION("""COMPUTED_VALUE"""),"")</f>
        <v/>
      </c>
      <c r="N376" s="29" t="str">
        <f ca="1">IFERROR(__xludf.DUMMYFUNCTION("""COMPUTED_VALUE"""),"")</f>
        <v/>
      </c>
    </row>
    <row r="377" spans="2:14" ht="12.5">
      <c r="B377" s="2"/>
      <c r="C377" s="2" t="str">
        <f ca="1">IFERROR(__xludf.DUMMYFUNCTION("""COMPUTED_VALUE"""),"")</f>
        <v/>
      </c>
      <c r="D377" s="2" t="str">
        <f ca="1">IFERROR(__xludf.DUMMYFUNCTION("""COMPUTED_VALUE"""),"")</f>
        <v/>
      </c>
      <c r="E377" s="29" t="str">
        <f ca="1">IFERROR(__xludf.DUMMYFUNCTION("""COMPUTED_VALUE"""),"")</f>
        <v/>
      </c>
      <c r="F377" s="30" t="str">
        <f ca="1">IFERROR(__xludf.DUMMYFUNCTION("""COMPUTED_VALUE"""),"")</f>
        <v/>
      </c>
      <c r="G377" s="29" t="str">
        <f ca="1">IFERROR(__xludf.DUMMYFUNCTION("""COMPUTED_VALUE"""),"")</f>
        <v/>
      </c>
      <c r="H377" s="30" t="str">
        <f ca="1">IFERROR(__xludf.DUMMYFUNCTION("""COMPUTED_VALUE"""),"")</f>
        <v/>
      </c>
      <c r="I377" s="29" t="str">
        <f ca="1">IFERROR(__xludf.DUMMYFUNCTION("""COMPUTED_VALUE"""),"")</f>
        <v/>
      </c>
      <c r="J377" s="29" t="str">
        <f ca="1">IFERROR(__xludf.DUMMYFUNCTION("""COMPUTED_VALUE"""),"")</f>
        <v/>
      </c>
      <c r="K377" s="29" t="str">
        <f ca="1">IFERROR(__xludf.DUMMYFUNCTION("""COMPUTED_VALUE"""),"")</f>
        <v/>
      </c>
      <c r="L377" s="29" t="str">
        <f ca="1">IFERROR(__xludf.DUMMYFUNCTION("""COMPUTED_VALUE"""),"")</f>
        <v/>
      </c>
      <c r="M377" s="29" t="str">
        <f ca="1">IFERROR(__xludf.DUMMYFUNCTION("""COMPUTED_VALUE"""),"")</f>
        <v/>
      </c>
      <c r="N377" s="29" t="str">
        <f ca="1">IFERROR(__xludf.DUMMYFUNCTION("""COMPUTED_VALUE"""),"")</f>
        <v/>
      </c>
    </row>
    <row r="378" spans="2:14" ht="12.5">
      <c r="B378" s="2"/>
      <c r="C378" s="2" t="str">
        <f ca="1">IFERROR(__xludf.DUMMYFUNCTION("""COMPUTED_VALUE"""),"")</f>
        <v/>
      </c>
      <c r="D378" s="2" t="str">
        <f ca="1">IFERROR(__xludf.DUMMYFUNCTION("""COMPUTED_VALUE"""),"")</f>
        <v/>
      </c>
      <c r="E378" s="29" t="str">
        <f ca="1">IFERROR(__xludf.DUMMYFUNCTION("""COMPUTED_VALUE"""),"")</f>
        <v/>
      </c>
      <c r="F378" s="30" t="str">
        <f ca="1">IFERROR(__xludf.DUMMYFUNCTION("""COMPUTED_VALUE"""),"")</f>
        <v/>
      </c>
      <c r="G378" s="29" t="str">
        <f ca="1">IFERROR(__xludf.DUMMYFUNCTION("""COMPUTED_VALUE"""),"")</f>
        <v/>
      </c>
      <c r="H378" s="30" t="str">
        <f ca="1">IFERROR(__xludf.DUMMYFUNCTION("""COMPUTED_VALUE"""),"")</f>
        <v/>
      </c>
      <c r="I378" s="29" t="str">
        <f ca="1">IFERROR(__xludf.DUMMYFUNCTION("""COMPUTED_VALUE"""),"")</f>
        <v/>
      </c>
      <c r="J378" s="29" t="str">
        <f ca="1">IFERROR(__xludf.DUMMYFUNCTION("""COMPUTED_VALUE"""),"")</f>
        <v/>
      </c>
      <c r="K378" s="29" t="str">
        <f ca="1">IFERROR(__xludf.DUMMYFUNCTION("""COMPUTED_VALUE"""),"")</f>
        <v/>
      </c>
      <c r="L378" s="29" t="str">
        <f ca="1">IFERROR(__xludf.DUMMYFUNCTION("""COMPUTED_VALUE"""),"")</f>
        <v/>
      </c>
      <c r="M378" s="29" t="str">
        <f ca="1">IFERROR(__xludf.DUMMYFUNCTION("""COMPUTED_VALUE"""),"")</f>
        <v/>
      </c>
      <c r="N378" s="29" t="str">
        <f ca="1">IFERROR(__xludf.DUMMYFUNCTION("""COMPUTED_VALUE"""),"")</f>
        <v/>
      </c>
    </row>
    <row r="379" spans="2:14" ht="12.5">
      <c r="B379" s="2"/>
      <c r="C379" s="2" t="str">
        <f ca="1">IFERROR(__xludf.DUMMYFUNCTION("""COMPUTED_VALUE"""),"")</f>
        <v/>
      </c>
      <c r="D379" s="2" t="str">
        <f ca="1">IFERROR(__xludf.DUMMYFUNCTION("""COMPUTED_VALUE"""),"")</f>
        <v/>
      </c>
      <c r="E379" s="29" t="str">
        <f ca="1">IFERROR(__xludf.DUMMYFUNCTION("""COMPUTED_VALUE"""),"")</f>
        <v/>
      </c>
      <c r="F379" s="30" t="str">
        <f ca="1">IFERROR(__xludf.DUMMYFUNCTION("""COMPUTED_VALUE"""),"")</f>
        <v/>
      </c>
      <c r="G379" s="29" t="str">
        <f ca="1">IFERROR(__xludf.DUMMYFUNCTION("""COMPUTED_VALUE"""),"")</f>
        <v/>
      </c>
      <c r="H379" s="30" t="str">
        <f ca="1">IFERROR(__xludf.DUMMYFUNCTION("""COMPUTED_VALUE"""),"")</f>
        <v/>
      </c>
      <c r="I379" s="29" t="str">
        <f ca="1">IFERROR(__xludf.DUMMYFUNCTION("""COMPUTED_VALUE"""),"")</f>
        <v/>
      </c>
      <c r="J379" s="29" t="str">
        <f ca="1">IFERROR(__xludf.DUMMYFUNCTION("""COMPUTED_VALUE"""),"")</f>
        <v/>
      </c>
      <c r="K379" s="29" t="str">
        <f ca="1">IFERROR(__xludf.DUMMYFUNCTION("""COMPUTED_VALUE"""),"")</f>
        <v/>
      </c>
      <c r="L379" s="29" t="str">
        <f ca="1">IFERROR(__xludf.DUMMYFUNCTION("""COMPUTED_VALUE"""),"")</f>
        <v/>
      </c>
      <c r="M379" s="29" t="str">
        <f ca="1">IFERROR(__xludf.DUMMYFUNCTION("""COMPUTED_VALUE"""),"")</f>
        <v/>
      </c>
      <c r="N379" s="29" t="str">
        <f ca="1">IFERROR(__xludf.DUMMYFUNCTION("""COMPUTED_VALUE"""),"")</f>
        <v/>
      </c>
    </row>
    <row r="380" spans="2:14" ht="12.5">
      <c r="B380" s="2"/>
      <c r="C380" s="2" t="str">
        <f ca="1">IFERROR(__xludf.DUMMYFUNCTION("""COMPUTED_VALUE"""),"")</f>
        <v/>
      </c>
      <c r="D380" s="2" t="str">
        <f ca="1">IFERROR(__xludf.DUMMYFUNCTION("""COMPUTED_VALUE"""),"")</f>
        <v/>
      </c>
      <c r="E380" s="29" t="str">
        <f ca="1">IFERROR(__xludf.DUMMYFUNCTION("""COMPUTED_VALUE"""),"")</f>
        <v/>
      </c>
      <c r="F380" s="30" t="str">
        <f ca="1">IFERROR(__xludf.DUMMYFUNCTION("""COMPUTED_VALUE"""),"")</f>
        <v/>
      </c>
      <c r="G380" s="29" t="str">
        <f ca="1">IFERROR(__xludf.DUMMYFUNCTION("""COMPUTED_VALUE"""),"")</f>
        <v/>
      </c>
      <c r="H380" s="30" t="str">
        <f ca="1">IFERROR(__xludf.DUMMYFUNCTION("""COMPUTED_VALUE"""),"")</f>
        <v/>
      </c>
      <c r="I380" s="29" t="str">
        <f ca="1">IFERROR(__xludf.DUMMYFUNCTION("""COMPUTED_VALUE"""),"")</f>
        <v/>
      </c>
      <c r="J380" s="29" t="str">
        <f ca="1">IFERROR(__xludf.DUMMYFUNCTION("""COMPUTED_VALUE"""),"")</f>
        <v/>
      </c>
      <c r="K380" s="29" t="str">
        <f ca="1">IFERROR(__xludf.DUMMYFUNCTION("""COMPUTED_VALUE"""),"")</f>
        <v/>
      </c>
      <c r="L380" s="29" t="str">
        <f ca="1">IFERROR(__xludf.DUMMYFUNCTION("""COMPUTED_VALUE"""),"")</f>
        <v/>
      </c>
      <c r="M380" s="29" t="str">
        <f ca="1">IFERROR(__xludf.DUMMYFUNCTION("""COMPUTED_VALUE"""),"")</f>
        <v/>
      </c>
      <c r="N380" s="29" t="str">
        <f ca="1">IFERROR(__xludf.DUMMYFUNCTION("""COMPUTED_VALUE"""),"")</f>
        <v/>
      </c>
    </row>
    <row r="381" spans="2:14" ht="12.5">
      <c r="B381" s="2"/>
      <c r="C381" s="2" t="str">
        <f ca="1">IFERROR(__xludf.DUMMYFUNCTION("""COMPUTED_VALUE"""),"")</f>
        <v/>
      </c>
      <c r="D381" s="2" t="str">
        <f ca="1">IFERROR(__xludf.DUMMYFUNCTION("""COMPUTED_VALUE"""),"")</f>
        <v/>
      </c>
      <c r="E381" s="29" t="str">
        <f ca="1">IFERROR(__xludf.DUMMYFUNCTION("""COMPUTED_VALUE"""),"")</f>
        <v/>
      </c>
      <c r="F381" s="30" t="str">
        <f ca="1">IFERROR(__xludf.DUMMYFUNCTION("""COMPUTED_VALUE"""),"")</f>
        <v/>
      </c>
      <c r="G381" s="29" t="str">
        <f ca="1">IFERROR(__xludf.DUMMYFUNCTION("""COMPUTED_VALUE"""),"")</f>
        <v/>
      </c>
      <c r="H381" s="30" t="str">
        <f ca="1">IFERROR(__xludf.DUMMYFUNCTION("""COMPUTED_VALUE"""),"")</f>
        <v/>
      </c>
      <c r="I381" s="29" t="str">
        <f ca="1">IFERROR(__xludf.DUMMYFUNCTION("""COMPUTED_VALUE"""),"")</f>
        <v/>
      </c>
      <c r="J381" s="29" t="str">
        <f ca="1">IFERROR(__xludf.DUMMYFUNCTION("""COMPUTED_VALUE"""),"")</f>
        <v/>
      </c>
      <c r="K381" s="29" t="str">
        <f ca="1">IFERROR(__xludf.DUMMYFUNCTION("""COMPUTED_VALUE"""),"")</f>
        <v/>
      </c>
      <c r="L381" s="29" t="str">
        <f ca="1">IFERROR(__xludf.DUMMYFUNCTION("""COMPUTED_VALUE"""),"")</f>
        <v/>
      </c>
      <c r="M381" s="29" t="str">
        <f ca="1">IFERROR(__xludf.DUMMYFUNCTION("""COMPUTED_VALUE"""),"")</f>
        <v/>
      </c>
      <c r="N381" s="29" t="str">
        <f ca="1">IFERROR(__xludf.DUMMYFUNCTION("""COMPUTED_VALUE"""),"")</f>
        <v/>
      </c>
    </row>
    <row r="382" spans="2:14" ht="12.5">
      <c r="B382" s="2"/>
      <c r="C382" s="2" t="str">
        <f ca="1">IFERROR(__xludf.DUMMYFUNCTION("""COMPUTED_VALUE"""),"")</f>
        <v/>
      </c>
      <c r="D382" s="2" t="str">
        <f ca="1">IFERROR(__xludf.DUMMYFUNCTION("""COMPUTED_VALUE"""),"")</f>
        <v/>
      </c>
      <c r="E382" s="29" t="str">
        <f ca="1">IFERROR(__xludf.DUMMYFUNCTION("""COMPUTED_VALUE"""),"")</f>
        <v/>
      </c>
      <c r="F382" s="30" t="str">
        <f ca="1">IFERROR(__xludf.DUMMYFUNCTION("""COMPUTED_VALUE"""),"")</f>
        <v/>
      </c>
      <c r="G382" s="29" t="str">
        <f ca="1">IFERROR(__xludf.DUMMYFUNCTION("""COMPUTED_VALUE"""),"")</f>
        <v/>
      </c>
      <c r="H382" s="30" t="str">
        <f ca="1">IFERROR(__xludf.DUMMYFUNCTION("""COMPUTED_VALUE"""),"")</f>
        <v/>
      </c>
      <c r="I382" s="29" t="str">
        <f ca="1">IFERROR(__xludf.DUMMYFUNCTION("""COMPUTED_VALUE"""),"")</f>
        <v/>
      </c>
      <c r="J382" s="29" t="str">
        <f ca="1">IFERROR(__xludf.DUMMYFUNCTION("""COMPUTED_VALUE"""),"")</f>
        <v/>
      </c>
      <c r="K382" s="29" t="str">
        <f ca="1">IFERROR(__xludf.DUMMYFUNCTION("""COMPUTED_VALUE"""),"")</f>
        <v/>
      </c>
      <c r="L382" s="29" t="str">
        <f ca="1">IFERROR(__xludf.DUMMYFUNCTION("""COMPUTED_VALUE"""),"")</f>
        <v/>
      </c>
      <c r="M382" s="29" t="str">
        <f ca="1">IFERROR(__xludf.DUMMYFUNCTION("""COMPUTED_VALUE"""),"")</f>
        <v/>
      </c>
      <c r="N382" s="29" t="str">
        <f ca="1">IFERROR(__xludf.DUMMYFUNCTION("""COMPUTED_VALUE"""),"")</f>
        <v/>
      </c>
    </row>
    <row r="383" spans="2:14" ht="12.5">
      <c r="B383" s="2"/>
      <c r="C383" s="2" t="str">
        <f ca="1">IFERROR(__xludf.DUMMYFUNCTION("""COMPUTED_VALUE"""),"")</f>
        <v/>
      </c>
      <c r="D383" s="2" t="str">
        <f ca="1">IFERROR(__xludf.DUMMYFUNCTION("""COMPUTED_VALUE"""),"")</f>
        <v/>
      </c>
      <c r="E383" s="29" t="str">
        <f ca="1">IFERROR(__xludf.DUMMYFUNCTION("""COMPUTED_VALUE"""),"")</f>
        <v/>
      </c>
      <c r="F383" s="30" t="str">
        <f ca="1">IFERROR(__xludf.DUMMYFUNCTION("""COMPUTED_VALUE"""),"")</f>
        <v/>
      </c>
      <c r="G383" s="29" t="str">
        <f ca="1">IFERROR(__xludf.DUMMYFUNCTION("""COMPUTED_VALUE"""),"")</f>
        <v/>
      </c>
      <c r="H383" s="30" t="str">
        <f ca="1">IFERROR(__xludf.DUMMYFUNCTION("""COMPUTED_VALUE"""),"")</f>
        <v/>
      </c>
      <c r="I383" s="29" t="str">
        <f ca="1">IFERROR(__xludf.DUMMYFUNCTION("""COMPUTED_VALUE"""),"")</f>
        <v/>
      </c>
      <c r="J383" s="29" t="str">
        <f ca="1">IFERROR(__xludf.DUMMYFUNCTION("""COMPUTED_VALUE"""),"")</f>
        <v/>
      </c>
      <c r="K383" s="29" t="str">
        <f ca="1">IFERROR(__xludf.DUMMYFUNCTION("""COMPUTED_VALUE"""),"")</f>
        <v/>
      </c>
      <c r="L383" s="29" t="str">
        <f ca="1">IFERROR(__xludf.DUMMYFUNCTION("""COMPUTED_VALUE"""),"")</f>
        <v/>
      </c>
      <c r="M383" s="29" t="str">
        <f ca="1">IFERROR(__xludf.DUMMYFUNCTION("""COMPUTED_VALUE"""),"")</f>
        <v/>
      </c>
      <c r="N383" s="29" t="str">
        <f ca="1">IFERROR(__xludf.DUMMYFUNCTION("""COMPUTED_VALUE"""),"")</f>
        <v/>
      </c>
    </row>
    <row r="384" spans="2:14" ht="12.5">
      <c r="B384" s="2"/>
      <c r="C384" s="2" t="str">
        <f ca="1">IFERROR(__xludf.DUMMYFUNCTION("""COMPUTED_VALUE"""),"")</f>
        <v/>
      </c>
      <c r="D384" s="2" t="str">
        <f ca="1">IFERROR(__xludf.DUMMYFUNCTION("""COMPUTED_VALUE"""),"")</f>
        <v/>
      </c>
      <c r="E384" s="29" t="str">
        <f ca="1">IFERROR(__xludf.DUMMYFUNCTION("""COMPUTED_VALUE"""),"")</f>
        <v/>
      </c>
      <c r="F384" s="30" t="str">
        <f ca="1">IFERROR(__xludf.DUMMYFUNCTION("""COMPUTED_VALUE"""),"")</f>
        <v/>
      </c>
      <c r="G384" s="29" t="str">
        <f ca="1">IFERROR(__xludf.DUMMYFUNCTION("""COMPUTED_VALUE"""),"")</f>
        <v/>
      </c>
      <c r="H384" s="30" t="str">
        <f ca="1">IFERROR(__xludf.DUMMYFUNCTION("""COMPUTED_VALUE"""),"")</f>
        <v/>
      </c>
      <c r="I384" s="29" t="str">
        <f ca="1">IFERROR(__xludf.DUMMYFUNCTION("""COMPUTED_VALUE"""),"")</f>
        <v/>
      </c>
      <c r="J384" s="29" t="str">
        <f ca="1">IFERROR(__xludf.DUMMYFUNCTION("""COMPUTED_VALUE"""),"")</f>
        <v/>
      </c>
      <c r="K384" s="29" t="str">
        <f ca="1">IFERROR(__xludf.DUMMYFUNCTION("""COMPUTED_VALUE"""),"")</f>
        <v/>
      </c>
      <c r="L384" s="29" t="str">
        <f ca="1">IFERROR(__xludf.DUMMYFUNCTION("""COMPUTED_VALUE"""),"")</f>
        <v/>
      </c>
      <c r="M384" s="29" t="str">
        <f ca="1">IFERROR(__xludf.DUMMYFUNCTION("""COMPUTED_VALUE"""),"")</f>
        <v/>
      </c>
      <c r="N384" s="29" t="str">
        <f ca="1">IFERROR(__xludf.DUMMYFUNCTION("""COMPUTED_VALUE"""),"")</f>
        <v/>
      </c>
    </row>
    <row r="385" spans="2:14" ht="12.5">
      <c r="B385" s="2"/>
      <c r="C385" s="2" t="str">
        <f ca="1">IFERROR(__xludf.DUMMYFUNCTION("""COMPUTED_VALUE"""),"")</f>
        <v/>
      </c>
      <c r="D385" s="2" t="str">
        <f ca="1">IFERROR(__xludf.DUMMYFUNCTION("""COMPUTED_VALUE"""),"")</f>
        <v/>
      </c>
      <c r="E385" s="29" t="str">
        <f ca="1">IFERROR(__xludf.DUMMYFUNCTION("""COMPUTED_VALUE"""),"")</f>
        <v/>
      </c>
      <c r="F385" s="30" t="str">
        <f ca="1">IFERROR(__xludf.DUMMYFUNCTION("""COMPUTED_VALUE"""),"")</f>
        <v/>
      </c>
      <c r="G385" s="29" t="str">
        <f ca="1">IFERROR(__xludf.DUMMYFUNCTION("""COMPUTED_VALUE"""),"")</f>
        <v/>
      </c>
      <c r="H385" s="30" t="str">
        <f ca="1">IFERROR(__xludf.DUMMYFUNCTION("""COMPUTED_VALUE"""),"")</f>
        <v/>
      </c>
      <c r="I385" s="29" t="str">
        <f ca="1">IFERROR(__xludf.DUMMYFUNCTION("""COMPUTED_VALUE"""),"")</f>
        <v/>
      </c>
      <c r="J385" s="29" t="str">
        <f ca="1">IFERROR(__xludf.DUMMYFUNCTION("""COMPUTED_VALUE"""),"")</f>
        <v/>
      </c>
      <c r="K385" s="29" t="str">
        <f ca="1">IFERROR(__xludf.DUMMYFUNCTION("""COMPUTED_VALUE"""),"")</f>
        <v/>
      </c>
      <c r="L385" s="29" t="str">
        <f ca="1">IFERROR(__xludf.DUMMYFUNCTION("""COMPUTED_VALUE"""),"")</f>
        <v/>
      </c>
      <c r="M385" s="29" t="str">
        <f ca="1">IFERROR(__xludf.DUMMYFUNCTION("""COMPUTED_VALUE"""),"")</f>
        <v/>
      </c>
      <c r="N385" s="29" t="str">
        <f ca="1">IFERROR(__xludf.DUMMYFUNCTION("""COMPUTED_VALUE"""),"")</f>
        <v/>
      </c>
    </row>
    <row r="386" spans="2:14" ht="12.5">
      <c r="B386" s="2"/>
      <c r="C386" s="2" t="str">
        <f ca="1">IFERROR(__xludf.DUMMYFUNCTION("""COMPUTED_VALUE"""),"")</f>
        <v/>
      </c>
      <c r="D386" s="2" t="str">
        <f ca="1">IFERROR(__xludf.DUMMYFUNCTION("""COMPUTED_VALUE"""),"")</f>
        <v/>
      </c>
      <c r="E386" s="29" t="str">
        <f ca="1">IFERROR(__xludf.DUMMYFUNCTION("""COMPUTED_VALUE"""),"")</f>
        <v/>
      </c>
      <c r="F386" s="30" t="str">
        <f ca="1">IFERROR(__xludf.DUMMYFUNCTION("""COMPUTED_VALUE"""),"")</f>
        <v/>
      </c>
      <c r="G386" s="29" t="str">
        <f ca="1">IFERROR(__xludf.DUMMYFUNCTION("""COMPUTED_VALUE"""),"")</f>
        <v/>
      </c>
      <c r="H386" s="30" t="str">
        <f ca="1">IFERROR(__xludf.DUMMYFUNCTION("""COMPUTED_VALUE"""),"")</f>
        <v/>
      </c>
      <c r="I386" s="29" t="str">
        <f ca="1">IFERROR(__xludf.DUMMYFUNCTION("""COMPUTED_VALUE"""),"")</f>
        <v/>
      </c>
      <c r="J386" s="29" t="str">
        <f ca="1">IFERROR(__xludf.DUMMYFUNCTION("""COMPUTED_VALUE"""),"")</f>
        <v/>
      </c>
      <c r="K386" s="29" t="str">
        <f ca="1">IFERROR(__xludf.DUMMYFUNCTION("""COMPUTED_VALUE"""),"")</f>
        <v/>
      </c>
      <c r="L386" s="29" t="str">
        <f ca="1">IFERROR(__xludf.DUMMYFUNCTION("""COMPUTED_VALUE"""),"")</f>
        <v/>
      </c>
      <c r="M386" s="29" t="str">
        <f ca="1">IFERROR(__xludf.DUMMYFUNCTION("""COMPUTED_VALUE"""),"")</f>
        <v/>
      </c>
      <c r="N386" s="29" t="str">
        <f ca="1">IFERROR(__xludf.DUMMYFUNCTION("""COMPUTED_VALUE"""),"")</f>
        <v/>
      </c>
    </row>
    <row r="387" spans="2:14" ht="12.5">
      <c r="B387" s="2"/>
      <c r="C387" s="2" t="str">
        <f ca="1">IFERROR(__xludf.DUMMYFUNCTION("""COMPUTED_VALUE"""),"")</f>
        <v/>
      </c>
      <c r="D387" s="2" t="str">
        <f ca="1">IFERROR(__xludf.DUMMYFUNCTION("""COMPUTED_VALUE"""),"")</f>
        <v/>
      </c>
      <c r="E387" s="29" t="str">
        <f ca="1">IFERROR(__xludf.DUMMYFUNCTION("""COMPUTED_VALUE"""),"")</f>
        <v/>
      </c>
      <c r="F387" s="30" t="str">
        <f ca="1">IFERROR(__xludf.DUMMYFUNCTION("""COMPUTED_VALUE"""),"")</f>
        <v/>
      </c>
      <c r="G387" s="29" t="str">
        <f ca="1">IFERROR(__xludf.DUMMYFUNCTION("""COMPUTED_VALUE"""),"")</f>
        <v/>
      </c>
      <c r="H387" s="30" t="str">
        <f ca="1">IFERROR(__xludf.DUMMYFUNCTION("""COMPUTED_VALUE"""),"")</f>
        <v/>
      </c>
      <c r="I387" s="29" t="str">
        <f ca="1">IFERROR(__xludf.DUMMYFUNCTION("""COMPUTED_VALUE"""),"")</f>
        <v/>
      </c>
      <c r="J387" s="29" t="str">
        <f ca="1">IFERROR(__xludf.DUMMYFUNCTION("""COMPUTED_VALUE"""),"")</f>
        <v/>
      </c>
      <c r="K387" s="29" t="str">
        <f ca="1">IFERROR(__xludf.DUMMYFUNCTION("""COMPUTED_VALUE"""),"")</f>
        <v/>
      </c>
      <c r="L387" s="29" t="str">
        <f ca="1">IFERROR(__xludf.DUMMYFUNCTION("""COMPUTED_VALUE"""),"")</f>
        <v/>
      </c>
      <c r="M387" s="29" t="str">
        <f ca="1">IFERROR(__xludf.DUMMYFUNCTION("""COMPUTED_VALUE"""),"")</f>
        <v/>
      </c>
      <c r="N387" s="29" t="str">
        <f ca="1">IFERROR(__xludf.DUMMYFUNCTION("""COMPUTED_VALUE"""),"")</f>
        <v/>
      </c>
    </row>
    <row r="388" spans="2:14" ht="12.5">
      <c r="B388" s="2"/>
      <c r="C388" s="2" t="str">
        <f ca="1">IFERROR(__xludf.DUMMYFUNCTION("""COMPUTED_VALUE"""),"")</f>
        <v/>
      </c>
      <c r="D388" s="2" t="str">
        <f ca="1">IFERROR(__xludf.DUMMYFUNCTION("""COMPUTED_VALUE"""),"")</f>
        <v/>
      </c>
      <c r="E388" s="29" t="str">
        <f ca="1">IFERROR(__xludf.DUMMYFUNCTION("""COMPUTED_VALUE"""),"")</f>
        <v/>
      </c>
      <c r="F388" s="30" t="str">
        <f ca="1">IFERROR(__xludf.DUMMYFUNCTION("""COMPUTED_VALUE"""),"")</f>
        <v/>
      </c>
      <c r="G388" s="29" t="str">
        <f ca="1">IFERROR(__xludf.DUMMYFUNCTION("""COMPUTED_VALUE"""),"")</f>
        <v/>
      </c>
      <c r="H388" s="30" t="str">
        <f ca="1">IFERROR(__xludf.DUMMYFUNCTION("""COMPUTED_VALUE"""),"")</f>
        <v/>
      </c>
      <c r="I388" s="29" t="str">
        <f ca="1">IFERROR(__xludf.DUMMYFUNCTION("""COMPUTED_VALUE"""),"")</f>
        <v/>
      </c>
      <c r="J388" s="29" t="str">
        <f ca="1">IFERROR(__xludf.DUMMYFUNCTION("""COMPUTED_VALUE"""),"")</f>
        <v/>
      </c>
      <c r="K388" s="29" t="str">
        <f ca="1">IFERROR(__xludf.DUMMYFUNCTION("""COMPUTED_VALUE"""),"")</f>
        <v/>
      </c>
      <c r="L388" s="29" t="str">
        <f ca="1">IFERROR(__xludf.DUMMYFUNCTION("""COMPUTED_VALUE"""),"")</f>
        <v/>
      </c>
      <c r="M388" s="29" t="str">
        <f ca="1">IFERROR(__xludf.DUMMYFUNCTION("""COMPUTED_VALUE"""),"")</f>
        <v/>
      </c>
      <c r="N388" s="29" t="str">
        <f ca="1">IFERROR(__xludf.DUMMYFUNCTION("""COMPUTED_VALUE"""),"")</f>
        <v/>
      </c>
    </row>
    <row r="389" spans="2:14" ht="12.5">
      <c r="B389" s="2"/>
      <c r="C389" s="2" t="str">
        <f ca="1">IFERROR(__xludf.DUMMYFUNCTION("""COMPUTED_VALUE"""),"")</f>
        <v/>
      </c>
      <c r="D389" s="2" t="str">
        <f ca="1">IFERROR(__xludf.DUMMYFUNCTION("""COMPUTED_VALUE"""),"")</f>
        <v/>
      </c>
      <c r="E389" s="29" t="str">
        <f ca="1">IFERROR(__xludf.DUMMYFUNCTION("""COMPUTED_VALUE"""),"")</f>
        <v/>
      </c>
      <c r="F389" s="30" t="str">
        <f ca="1">IFERROR(__xludf.DUMMYFUNCTION("""COMPUTED_VALUE"""),"")</f>
        <v/>
      </c>
      <c r="G389" s="29" t="str">
        <f ca="1">IFERROR(__xludf.DUMMYFUNCTION("""COMPUTED_VALUE"""),"")</f>
        <v/>
      </c>
      <c r="H389" s="30" t="str">
        <f ca="1">IFERROR(__xludf.DUMMYFUNCTION("""COMPUTED_VALUE"""),"")</f>
        <v/>
      </c>
      <c r="I389" s="29" t="str">
        <f ca="1">IFERROR(__xludf.DUMMYFUNCTION("""COMPUTED_VALUE"""),"")</f>
        <v/>
      </c>
      <c r="J389" s="29" t="str">
        <f ca="1">IFERROR(__xludf.DUMMYFUNCTION("""COMPUTED_VALUE"""),"")</f>
        <v/>
      </c>
      <c r="K389" s="29" t="str">
        <f ca="1">IFERROR(__xludf.DUMMYFUNCTION("""COMPUTED_VALUE"""),"")</f>
        <v/>
      </c>
      <c r="L389" s="29" t="str">
        <f ca="1">IFERROR(__xludf.DUMMYFUNCTION("""COMPUTED_VALUE"""),"")</f>
        <v/>
      </c>
      <c r="M389" s="29" t="str">
        <f ca="1">IFERROR(__xludf.DUMMYFUNCTION("""COMPUTED_VALUE"""),"")</f>
        <v/>
      </c>
      <c r="N389" s="29" t="str">
        <f ca="1">IFERROR(__xludf.DUMMYFUNCTION("""COMPUTED_VALUE"""),"")</f>
        <v/>
      </c>
    </row>
    <row r="390" spans="2:14" ht="12.5">
      <c r="B390" s="2"/>
      <c r="C390" s="2" t="str">
        <f ca="1">IFERROR(__xludf.DUMMYFUNCTION("""COMPUTED_VALUE"""),"")</f>
        <v/>
      </c>
      <c r="D390" s="2" t="str">
        <f ca="1">IFERROR(__xludf.DUMMYFUNCTION("""COMPUTED_VALUE"""),"")</f>
        <v/>
      </c>
      <c r="E390" s="29" t="str">
        <f ca="1">IFERROR(__xludf.DUMMYFUNCTION("""COMPUTED_VALUE"""),"")</f>
        <v/>
      </c>
      <c r="F390" s="30" t="str">
        <f ca="1">IFERROR(__xludf.DUMMYFUNCTION("""COMPUTED_VALUE"""),"")</f>
        <v/>
      </c>
      <c r="G390" s="29" t="str">
        <f ca="1">IFERROR(__xludf.DUMMYFUNCTION("""COMPUTED_VALUE"""),"")</f>
        <v/>
      </c>
      <c r="H390" s="30" t="str">
        <f ca="1">IFERROR(__xludf.DUMMYFUNCTION("""COMPUTED_VALUE"""),"")</f>
        <v/>
      </c>
      <c r="I390" s="29" t="str">
        <f ca="1">IFERROR(__xludf.DUMMYFUNCTION("""COMPUTED_VALUE"""),"")</f>
        <v/>
      </c>
      <c r="J390" s="29" t="str">
        <f ca="1">IFERROR(__xludf.DUMMYFUNCTION("""COMPUTED_VALUE"""),"")</f>
        <v/>
      </c>
      <c r="K390" s="29" t="str">
        <f ca="1">IFERROR(__xludf.DUMMYFUNCTION("""COMPUTED_VALUE"""),"")</f>
        <v/>
      </c>
      <c r="L390" s="29" t="str">
        <f ca="1">IFERROR(__xludf.DUMMYFUNCTION("""COMPUTED_VALUE"""),"")</f>
        <v/>
      </c>
      <c r="M390" s="29" t="str">
        <f ca="1">IFERROR(__xludf.DUMMYFUNCTION("""COMPUTED_VALUE"""),"")</f>
        <v/>
      </c>
      <c r="N390" s="29" t="str">
        <f ca="1">IFERROR(__xludf.DUMMYFUNCTION("""COMPUTED_VALUE"""),"")</f>
        <v/>
      </c>
    </row>
    <row r="391" spans="2:14" ht="12.5">
      <c r="B391" s="2"/>
      <c r="C391" s="2" t="str">
        <f ca="1">IFERROR(__xludf.DUMMYFUNCTION("""COMPUTED_VALUE"""),"")</f>
        <v/>
      </c>
      <c r="D391" s="2" t="str">
        <f ca="1">IFERROR(__xludf.DUMMYFUNCTION("""COMPUTED_VALUE"""),"")</f>
        <v/>
      </c>
      <c r="E391" s="29" t="str">
        <f ca="1">IFERROR(__xludf.DUMMYFUNCTION("""COMPUTED_VALUE"""),"")</f>
        <v/>
      </c>
      <c r="F391" s="30" t="str">
        <f ca="1">IFERROR(__xludf.DUMMYFUNCTION("""COMPUTED_VALUE"""),"")</f>
        <v/>
      </c>
      <c r="G391" s="29" t="str">
        <f ca="1">IFERROR(__xludf.DUMMYFUNCTION("""COMPUTED_VALUE"""),"")</f>
        <v/>
      </c>
      <c r="H391" s="30" t="str">
        <f ca="1">IFERROR(__xludf.DUMMYFUNCTION("""COMPUTED_VALUE"""),"")</f>
        <v/>
      </c>
      <c r="I391" s="29" t="str">
        <f ca="1">IFERROR(__xludf.DUMMYFUNCTION("""COMPUTED_VALUE"""),"")</f>
        <v/>
      </c>
      <c r="J391" s="29" t="str">
        <f ca="1">IFERROR(__xludf.DUMMYFUNCTION("""COMPUTED_VALUE"""),"")</f>
        <v/>
      </c>
      <c r="K391" s="29" t="str">
        <f ca="1">IFERROR(__xludf.DUMMYFUNCTION("""COMPUTED_VALUE"""),"")</f>
        <v/>
      </c>
      <c r="L391" s="29" t="str">
        <f ca="1">IFERROR(__xludf.DUMMYFUNCTION("""COMPUTED_VALUE"""),"")</f>
        <v/>
      </c>
      <c r="M391" s="29" t="str">
        <f ca="1">IFERROR(__xludf.DUMMYFUNCTION("""COMPUTED_VALUE"""),"")</f>
        <v/>
      </c>
      <c r="N391" s="29" t="str">
        <f ca="1">IFERROR(__xludf.DUMMYFUNCTION("""COMPUTED_VALUE"""),"")</f>
        <v/>
      </c>
    </row>
    <row r="392" spans="2:14" ht="12.5">
      <c r="B392" s="2"/>
      <c r="C392" s="2" t="str">
        <f ca="1">IFERROR(__xludf.DUMMYFUNCTION("""COMPUTED_VALUE"""),"")</f>
        <v/>
      </c>
      <c r="D392" s="2" t="str">
        <f ca="1">IFERROR(__xludf.DUMMYFUNCTION("""COMPUTED_VALUE"""),"")</f>
        <v/>
      </c>
      <c r="E392" s="29" t="str">
        <f ca="1">IFERROR(__xludf.DUMMYFUNCTION("""COMPUTED_VALUE"""),"")</f>
        <v/>
      </c>
      <c r="F392" s="30" t="str">
        <f ca="1">IFERROR(__xludf.DUMMYFUNCTION("""COMPUTED_VALUE"""),"")</f>
        <v/>
      </c>
      <c r="G392" s="29" t="str">
        <f ca="1">IFERROR(__xludf.DUMMYFUNCTION("""COMPUTED_VALUE"""),"")</f>
        <v/>
      </c>
      <c r="H392" s="30" t="str">
        <f ca="1">IFERROR(__xludf.DUMMYFUNCTION("""COMPUTED_VALUE"""),"")</f>
        <v/>
      </c>
      <c r="I392" s="29" t="str">
        <f ca="1">IFERROR(__xludf.DUMMYFUNCTION("""COMPUTED_VALUE"""),"")</f>
        <v/>
      </c>
      <c r="J392" s="29" t="str">
        <f ca="1">IFERROR(__xludf.DUMMYFUNCTION("""COMPUTED_VALUE"""),"")</f>
        <v/>
      </c>
      <c r="K392" s="29" t="str">
        <f ca="1">IFERROR(__xludf.DUMMYFUNCTION("""COMPUTED_VALUE"""),"")</f>
        <v/>
      </c>
      <c r="L392" s="29" t="str">
        <f ca="1">IFERROR(__xludf.DUMMYFUNCTION("""COMPUTED_VALUE"""),"")</f>
        <v/>
      </c>
      <c r="M392" s="29" t="str">
        <f ca="1">IFERROR(__xludf.DUMMYFUNCTION("""COMPUTED_VALUE"""),"")</f>
        <v/>
      </c>
      <c r="N392" s="29" t="str">
        <f ca="1">IFERROR(__xludf.DUMMYFUNCTION("""COMPUTED_VALUE"""),"")</f>
        <v/>
      </c>
    </row>
    <row r="393" spans="2:14" ht="12.5">
      <c r="B393" s="2"/>
      <c r="C393" s="2" t="str">
        <f ca="1">IFERROR(__xludf.DUMMYFUNCTION("""COMPUTED_VALUE"""),"")</f>
        <v/>
      </c>
      <c r="D393" s="2" t="str">
        <f ca="1">IFERROR(__xludf.DUMMYFUNCTION("""COMPUTED_VALUE"""),"")</f>
        <v/>
      </c>
      <c r="E393" s="29" t="str">
        <f ca="1">IFERROR(__xludf.DUMMYFUNCTION("""COMPUTED_VALUE"""),"")</f>
        <v/>
      </c>
      <c r="F393" s="30" t="str">
        <f ca="1">IFERROR(__xludf.DUMMYFUNCTION("""COMPUTED_VALUE"""),"")</f>
        <v/>
      </c>
      <c r="G393" s="29" t="str">
        <f ca="1">IFERROR(__xludf.DUMMYFUNCTION("""COMPUTED_VALUE"""),"")</f>
        <v/>
      </c>
      <c r="H393" s="30" t="str">
        <f ca="1">IFERROR(__xludf.DUMMYFUNCTION("""COMPUTED_VALUE"""),"")</f>
        <v/>
      </c>
      <c r="I393" s="29" t="str">
        <f ca="1">IFERROR(__xludf.DUMMYFUNCTION("""COMPUTED_VALUE"""),"")</f>
        <v/>
      </c>
      <c r="J393" s="29" t="str">
        <f ca="1">IFERROR(__xludf.DUMMYFUNCTION("""COMPUTED_VALUE"""),"")</f>
        <v/>
      </c>
      <c r="K393" s="29" t="str">
        <f ca="1">IFERROR(__xludf.DUMMYFUNCTION("""COMPUTED_VALUE"""),"")</f>
        <v/>
      </c>
      <c r="L393" s="29" t="str">
        <f ca="1">IFERROR(__xludf.DUMMYFUNCTION("""COMPUTED_VALUE"""),"")</f>
        <v/>
      </c>
      <c r="M393" s="29" t="str">
        <f ca="1">IFERROR(__xludf.DUMMYFUNCTION("""COMPUTED_VALUE"""),"")</f>
        <v/>
      </c>
      <c r="N393" s="29" t="str">
        <f ca="1">IFERROR(__xludf.DUMMYFUNCTION("""COMPUTED_VALUE"""),"")</f>
        <v/>
      </c>
    </row>
    <row r="394" spans="2:14" ht="12.5">
      <c r="B394" s="2"/>
      <c r="C394" s="2" t="str">
        <f ca="1">IFERROR(__xludf.DUMMYFUNCTION("""COMPUTED_VALUE"""),"")</f>
        <v/>
      </c>
      <c r="D394" s="2" t="str">
        <f ca="1">IFERROR(__xludf.DUMMYFUNCTION("""COMPUTED_VALUE"""),"")</f>
        <v/>
      </c>
      <c r="E394" s="29" t="str">
        <f ca="1">IFERROR(__xludf.DUMMYFUNCTION("""COMPUTED_VALUE"""),"")</f>
        <v/>
      </c>
      <c r="F394" s="30" t="str">
        <f ca="1">IFERROR(__xludf.DUMMYFUNCTION("""COMPUTED_VALUE"""),"")</f>
        <v/>
      </c>
      <c r="G394" s="29" t="str">
        <f ca="1">IFERROR(__xludf.DUMMYFUNCTION("""COMPUTED_VALUE"""),"")</f>
        <v/>
      </c>
      <c r="H394" s="30" t="str">
        <f ca="1">IFERROR(__xludf.DUMMYFUNCTION("""COMPUTED_VALUE"""),"")</f>
        <v/>
      </c>
      <c r="I394" s="29" t="str">
        <f ca="1">IFERROR(__xludf.DUMMYFUNCTION("""COMPUTED_VALUE"""),"")</f>
        <v/>
      </c>
      <c r="J394" s="29" t="str">
        <f ca="1">IFERROR(__xludf.DUMMYFUNCTION("""COMPUTED_VALUE"""),"")</f>
        <v/>
      </c>
      <c r="K394" s="29" t="str">
        <f ca="1">IFERROR(__xludf.DUMMYFUNCTION("""COMPUTED_VALUE"""),"")</f>
        <v/>
      </c>
      <c r="L394" s="29" t="str">
        <f ca="1">IFERROR(__xludf.DUMMYFUNCTION("""COMPUTED_VALUE"""),"")</f>
        <v/>
      </c>
      <c r="M394" s="29" t="str">
        <f ca="1">IFERROR(__xludf.DUMMYFUNCTION("""COMPUTED_VALUE"""),"")</f>
        <v/>
      </c>
      <c r="N394" s="29" t="str">
        <f ca="1">IFERROR(__xludf.DUMMYFUNCTION("""COMPUTED_VALUE"""),"")</f>
        <v/>
      </c>
    </row>
    <row r="395" spans="2:14" ht="12.5">
      <c r="B395" s="2"/>
      <c r="C395" s="2" t="str">
        <f ca="1">IFERROR(__xludf.DUMMYFUNCTION("""COMPUTED_VALUE"""),"")</f>
        <v/>
      </c>
      <c r="D395" s="2" t="str">
        <f ca="1">IFERROR(__xludf.DUMMYFUNCTION("""COMPUTED_VALUE"""),"")</f>
        <v/>
      </c>
      <c r="E395" s="29" t="str">
        <f ca="1">IFERROR(__xludf.DUMMYFUNCTION("""COMPUTED_VALUE"""),"")</f>
        <v/>
      </c>
      <c r="F395" s="30" t="str">
        <f ca="1">IFERROR(__xludf.DUMMYFUNCTION("""COMPUTED_VALUE"""),"")</f>
        <v/>
      </c>
      <c r="G395" s="29" t="str">
        <f ca="1">IFERROR(__xludf.DUMMYFUNCTION("""COMPUTED_VALUE"""),"")</f>
        <v/>
      </c>
      <c r="H395" s="30" t="str">
        <f ca="1">IFERROR(__xludf.DUMMYFUNCTION("""COMPUTED_VALUE"""),"")</f>
        <v/>
      </c>
      <c r="I395" s="29" t="str">
        <f ca="1">IFERROR(__xludf.DUMMYFUNCTION("""COMPUTED_VALUE"""),"")</f>
        <v/>
      </c>
      <c r="J395" s="29" t="str">
        <f ca="1">IFERROR(__xludf.DUMMYFUNCTION("""COMPUTED_VALUE"""),"")</f>
        <v/>
      </c>
      <c r="K395" s="29" t="str">
        <f ca="1">IFERROR(__xludf.DUMMYFUNCTION("""COMPUTED_VALUE"""),"")</f>
        <v/>
      </c>
      <c r="L395" s="29" t="str">
        <f ca="1">IFERROR(__xludf.DUMMYFUNCTION("""COMPUTED_VALUE"""),"")</f>
        <v/>
      </c>
      <c r="M395" s="29" t="str">
        <f ca="1">IFERROR(__xludf.DUMMYFUNCTION("""COMPUTED_VALUE"""),"")</f>
        <v/>
      </c>
      <c r="N395" s="29" t="str">
        <f ca="1">IFERROR(__xludf.DUMMYFUNCTION("""COMPUTED_VALUE"""),"")</f>
        <v/>
      </c>
    </row>
    <row r="396" spans="2:14" ht="12.5">
      <c r="B396" s="2"/>
      <c r="C396" s="2" t="str">
        <f ca="1">IFERROR(__xludf.DUMMYFUNCTION("""COMPUTED_VALUE"""),"")</f>
        <v/>
      </c>
      <c r="D396" s="2" t="str">
        <f ca="1">IFERROR(__xludf.DUMMYFUNCTION("""COMPUTED_VALUE"""),"")</f>
        <v/>
      </c>
      <c r="E396" s="29" t="str">
        <f ca="1">IFERROR(__xludf.DUMMYFUNCTION("""COMPUTED_VALUE"""),"")</f>
        <v/>
      </c>
      <c r="F396" s="30" t="str">
        <f ca="1">IFERROR(__xludf.DUMMYFUNCTION("""COMPUTED_VALUE"""),"")</f>
        <v/>
      </c>
      <c r="G396" s="29" t="str">
        <f ca="1">IFERROR(__xludf.DUMMYFUNCTION("""COMPUTED_VALUE"""),"")</f>
        <v/>
      </c>
      <c r="H396" s="30" t="str">
        <f ca="1">IFERROR(__xludf.DUMMYFUNCTION("""COMPUTED_VALUE"""),"")</f>
        <v/>
      </c>
      <c r="I396" s="29" t="str">
        <f ca="1">IFERROR(__xludf.DUMMYFUNCTION("""COMPUTED_VALUE"""),"")</f>
        <v/>
      </c>
      <c r="J396" s="29" t="str">
        <f ca="1">IFERROR(__xludf.DUMMYFUNCTION("""COMPUTED_VALUE"""),"")</f>
        <v/>
      </c>
      <c r="K396" s="29" t="str">
        <f ca="1">IFERROR(__xludf.DUMMYFUNCTION("""COMPUTED_VALUE"""),"")</f>
        <v/>
      </c>
      <c r="L396" s="29" t="str">
        <f ca="1">IFERROR(__xludf.DUMMYFUNCTION("""COMPUTED_VALUE"""),"")</f>
        <v/>
      </c>
      <c r="M396" s="29" t="str">
        <f ca="1">IFERROR(__xludf.DUMMYFUNCTION("""COMPUTED_VALUE"""),"")</f>
        <v/>
      </c>
      <c r="N396" s="29" t="str">
        <f ca="1">IFERROR(__xludf.DUMMYFUNCTION("""COMPUTED_VALUE"""),"")</f>
        <v/>
      </c>
    </row>
    <row r="397" spans="2:14" ht="12.5">
      <c r="B397" s="2"/>
      <c r="C397" s="2" t="str">
        <f ca="1">IFERROR(__xludf.DUMMYFUNCTION("""COMPUTED_VALUE"""),"")</f>
        <v/>
      </c>
      <c r="D397" s="2" t="str">
        <f ca="1">IFERROR(__xludf.DUMMYFUNCTION("""COMPUTED_VALUE"""),"")</f>
        <v/>
      </c>
      <c r="E397" s="29" t="str">
        <f ca="1">IFERROR(__xludf.DUMMYFUNCTION("""COMPUTED_VALUE"""),"")</f>
        <v/>
      </c>
      <c r="F397" s="30" t="str">
        <f ca="1">IFERROR(__xludf.DUMMYFUNCTION("""COMPUTED_VALUE"""),"")</f>
        <v/>
      </c>
      <c r="G397" s="29" t="str">
        <f ca="1">IFERROR(__xludf.DUMMYFUNCTION("""COMPUTED_VALUE"""),"")</f>
        <v/>
      </c>
      <c r="H397" s="30" t="str">
        <f ca="1">IFERROR(__xludf.DUMMYFUNCTION("""COMPUTED_VALUE"""),"")</f>
        <v/>
      </c>
      <c r="I397" s="29" t="str">
        <f ca="1">IFERROR(__xludf.DUMMYFUNCTION("""COMPUTED_VALUE"""),"")</f>
        <v/>
      </c>
      <c r="J397" s="29" t="str">
        <f ca="1">IFERROR(__xludf.DUMMYFUNCTION("""COMPUTED_VALUE"""),"")</f>
        <v/>
      </c>
      <c r="K397" s="29" t="str">
        <f ca="1">IFERROR(__xludf.DUMMYFUNCTION("""COMPUTED_VALUE"""),"")</f>
        <v/>
      </c>
      <c r="L397" s="29" t="str">
        <f ca="1">IFERROR(__xludf.DUMMYFUNCTION("""COMPUTED_VALUE"""),"")</f>
        <v/>
      </c>
      <c r="M397" s="29" t="str">
        <f ca="1">IFERROR(__xludf.DUMMYFUNCTION("""COMPUTED_VALUE"""),"")</f>
        <v/>
      </c>
      <c r="N397" s="29" t="str">
        <f ca="1">IFERROR(__xludf.DUMMYFUNCTION("""COMPUTED_VALUE"""),"")</f>
        <v/>
      </c>
    </row>
    <row r="398" spans="2:14" ht="12.5">
      <c r="B398" s="2"/>
      <c r="C398" s="2" t="str">
        <f ca="1">IFERROR(__xludf.DUMMYFUNCTION("""COMPUTED_VALUE"""),"")</f>
        <v/>
      </c>
      <c r="D398" s="2" t="str">
        <f ca="1">IFERROR(__xludf.DUMMYFUNCTION("""COMPUTED_VALUE"""),"")</f>
        <v/>
      </c>
      <c r="E398" s="29" t="str">
        <f ca="1">IFERROR(__xludf.DUMMYFUNCTION("""COMPUTED_VALUE"""),"")</f>
        <v/>
      </c>
      <c r="F398" s="30" t="str">
        <f ca="1">IFERROR(__xludf.DUMMYFUNCTION("""COMPUTED_VALUE"""),"")</f>
        <v/>
      </c>
      <c r="G398" s="29" t="str">
        <f ca="1">IFERROR(__xludf.DUMMYFUNCTION("""COMPUTED_VALUE"""),"")</f>
        <v/>
      </c>
      <c r="H398" s="30" t="str">
        <f ca="1">IFERROR(__xludf.DUMMYFUNCTION("""COMPUTED_VALUE"""),"")</f>
        <v/>
      </c>
      <c r="I398" s="29" t="str">
        <f ca="1">IFERROR(__xludf.DUMMYFUNCTION("""COMPUTED_VALUE"""),"")</f>
        <v/>
      </c>
      <c r="J398" s="29" t="str">
        <f ca="1">IFERROR(__xludf.DUMMYFUNCTION("""COMPUTED_VALUE"""),"")</f>
        <v/>
      </c>
      <c r="K398" s="29" t="str">
        <f ca="1">IFERROR(__xludf.DUMMYFUNCTION("""COMPUTED_VALUE"""),"")</f>
        <v/>
      </c>
      <c r="L398" s="29" t="str">
        <f ca="1">IFERROR(__xludf.DUMMYFUNCTION("""COMPUTED_VALUE"""),"")</f>
        <v/>
      </c>
      <c r="M398" s="29" t="str">
        <f ca="1">IFERROR(__xludf.DUMMYFUNCTION("""COMPUTED_VALUE"""),"")</f>
        <v/>
      </c>
      <c r="N398" s="29" t="str">
        <f ca="1">IFERROR(__xludf.DUMMYFUNCTION("""COMPUTED_VALUE"""),"")</f>
        <v/>
      </c>
    </row>
    <row r="399" spans="2:14" ht="12.5">
      <c r="B399" s="2"/>
      <c r="C399" s="2" t="str">
        <f ca="1">IFERROR(__xludf.DUMMYFUNCTION("""COMPUTED_VALUE"""),"")</f>
        <v/>
      </c>
      <c r="D399" s="2" t="str">
        <f ca="1">IFERROR(__xludf.DUMMYFUNCTION("""COMPUTED_VALUE"""),"")</f>
        <v/>
      </c>
      <c r="E399" s="29" t="str">
        <f ca="1">IFERROR(__xludf.DUMMYFUNCTION("""COMPUTED_VALUE"""),"")</f>
        <v/>
      </c>
      <c r="F399" s="30" t="str">
        <f ca="1">IFERROR(__xludf.DUMMYFUNCTION("""COMPUTED_VALUE"""),"")</f>
        <v/>
      </c>
      <c r="G399" s="29" t="str">
        <f ca="1">IFERROR(__xludf.DUMMYFUNCTION("""COMPUTED_VALUE"""),"")</f>
        <v/>
      </c>
      <c r="H399" s="30" t="str">
        <f ca="1">IFERROR(__xludf.DUMMYFUNCTION("""COMPUTED_VALUE"""),"")</f>
        <v/>
      </c>
      <c r="I399" s="29" t="str">
        <f ca="1">IFERROR(__xludf.DUMMYFUNCTION("""COMPUTED_VALUE"""),"")</f>
        <v/>
      </c>
      <c r="J399" s="29" t="str">
        <f ca="1">IFERROR(__xludf.DUMMYFUNCTION("""COMPUTED_VALUE"""),"")</f>
        <v/>
      </c>
      <c r="K399" s="29" t="str">
        <f ca="1">IFERROR(__xludf.DUMMYFUNCTION("""COMPUTED_VALUE"""),"")</f>
        <v/>
      </c>
      <c r="L399" s="29" t="str">
        <f ca="1">IFERROR(__xludf.DUMMYFUNCTION("""COMPUTED_VALUE"""),"")</f>
        <v/>
      </c>
      <c r="M399" s="29" t="str">
        <f ca="1">IFERROR(__xludf.DUMMYFUNCTION("""COMPUTED_VALUE"""),"")</f>
        <v/>
      </c>
      <c r="N399" s="29" t="str">
        <f ca="1">IFERROR(__xludf.DUMMYFUNCTION("""COMPUTED_VALUE"""),"")</f>
        <v/>
      </c>
    </row>
    <row r="400" spans="2:14" ht="12.5">
      <c r="B400" s="2"/>
      <c r="C400" s="2" t="str">
        <f ca="1">IFERROR(__xludf.DUMMYFUNCTION("""COMPUTED_VALUE"""),"")</f>
        <v/>
      </c>
      <c r="D400" s="2" t="str">
        <f ca="1">IFERROR(__xludf.DUMMYFUNCTION("""COMPUTED_VALUE"""),"")</f>
        <v/>
      </c>
      <c r="E400" s="29" t="str">
        <f ca="1">IFERROR(__xludf.DUMMYFUNCTION("""COMPUTED_VALUE"""),"")</f>
        <v/>
      </c>
      <c r="F400" s="30" t="str">
        <f ca="1">IFERROR(__xludf.DUMMYFUNCTION("""COMPUTED_VALUE"""),"")</f>
        <v/>
      </c>
      <c r="G400" s="29" t="str">
        <f ca="1">IFERROR(__xludf.DUMMYFUNCTION("""COMPUTED_VALUE"""),"")</f>
        <v/>
      </c>
      <c r="H400" s="30" t="str">
        <f ca="1">IFERROR(__xludf.DUMMYFUNCTION("""COMPUTED_VALUE"""),"")</f>
        <v/>
      </c>
      <c r="I400" s="29" t="str">
        <f ca="1">IFERROR(__xludf.DUMMYFUNCTION("""COMPUTED_VALUE"""),"")</f>
        <v/>
      </c>
      <c r="J400" s="29" t="str">
        <f ca="1">IFERROR(__xludf.DUMMYFUNCTION("""COMPUTED_VALUE"""),"")</f>
        <v/>
      </c>
      <c r="K400" s="29" t="str">
        <f ca="1">IFERROR(__xludf.DUMMYFUNCTION("""COMPUTED_VALUE"""),"")</f>
        <v/>
      </c>
      <c r="L400" s="29" t="str">
        <f ca="1">IFERROR(__xludf.DUMMYFUNCTION("""COMPUTED_VALUE"""),"")</f>
        <v/>
      </c>
      <c r="M400" s="29" t="str">
        <f ca="1">IFERROR(__xludf.DUMMYFUNCTION("""COMPUTED_VALUE"""),"")</f>
        <v/>
      </c>
      <c r="N400" s="29" t="str">
        <f ca="1">IFERROR(__xludf.DUMMYFUNCTION("""COMPUTED_VALUE"""),"")</f>
        <v/>
      </c>
    </row>
    <row r="401" spans="2:14" ht="12.5">
      <c r="B401" s="2"/>
      <c r="C401" s="2" t="str">
        <f ca="1">IFERROR(__xludf.DUMMYFUNCTION("""COMPUTED_VALUE"""),"")</f>
        <v/>
      </c>
      <c r="D401" s="2" t="str">
        <f ca="1">IFERROR(__xludf.DUMMYFUNCTION("""COMPUTED_VALUE"""),"")</f>
        <v/>
      </c>
      <c r="E401" s="29" t="str">
        <f ca="1">IFERROR(__xludf.DUMMYFUNCTION("""COMPUTED_VALUE"""),"")</f>
        <v/>
      </c>
      <c r="F401" s="30" t="str">
        <f ca="1">IFERROR(__xludf.DUMMYFUNCTION("""COMPUTED_VALUE"""),"")</f>
        <v/>
      </c>
      <c r="G401" s="29" t="str">
        <f ca="1">IFERROR(__xludf.DUMMYFUNCTION("""COMPUTED_VALUE"""),"")</f>
        <v/>
      </c>
      <c r="H401" s="30" t="str">
        <f ca="1">IFERROR(__xludf.DUMMYFUNCTION("""COMPUTED_VALUE"""),"")</f>
        <v/>
      </c>
      <c r="I401" s="29" t="str">
        <f ca="1">IFERROR(__xludf.DUMMYFUNCTION("""COMPUTED_VALUE"""),"")</f>
        <v/>
      </c>
      <c r="J401" s="29" t="str">
        <f ca="1">IFERROR(__xludf.DUMMYFUNCTION("""COMPUTED_VALUE"""),"")</f>
        <v/>
      </c>
      <c r="K401" s="29" t="str">
        <f ca="1">IFERROR(__xludf.DUMMYFUNCTION("""COMPUTED_VALUE"""),"")</f>
        <v/>
      </c>
      <c r="L401" s="29" t="str">
        <f ca="1">IFERROR(__xludf.DUMMYFUNCTION("""COMPUTED_VALUE"""),"")</f>
        <v/>
      </c>
      <c r="M401" s="29" t="str">
        <f ca="1">IFERROR(__xludf.DUMMYFUNCTION("""COMPUTED_VALUE"""),"")</f>
        <v/>
      </c>
      <c r="N401" s="29" t="str">
        <f ca="1">IFERROR(__xludf.DUMMYFUNCTION("""COMPUTED_VALUE"""),"")</f>
        <v/>
      </c>
    </row>
    <row r="402" spans="2:14" ht="12.5">
      <c r="B402" s="2"/>
      <c r="C402" s="2" t="str">
        <f ca="1">IFERROR(__xludf.DUMMYFUNCTION("""COMPUTED_VALUE"""),"")</f>
        <v/>
      </c>
      <c r="D402" s="2" t="str">
        <f ca="1">IFERROR(__xludf.DUMMYFUNCTION("""COMPUTED_VALUE"""),"")</f>
        <v/>
      </c>
      <c r="E402" s="29" t="str">
        <f ca="1">IFERROR(__xludf.DUMMYFUNCTION("""COMPUTED_VALUE"""),"")</f>
        <v/>
      </c>
      <c r="F402" s="30" t="str">
        <f ca="1">IFERROR(__xludf.DUMMYFUNCTION("""COMPUTED_VALUE"""),"")</f>
        <v/>
      </c>
      <c r="G402" s="29" t="str">
        <f ca="1">IFERROR(__xludf.DUMMYFUNCTION("""COMPUTED_VALUE"""),"")</f>
        <v/>
      </c>
      <c r="H402" s="30" t="str">
        <f ca="1">IFERROR(__xludf.DUMMYFUNCTION("""COMPUTED_VALUE"""),"")</f>
        <v/>
      </c>
      <c r="I402" s="29" t="str">
        <f ca="1">IFERROR(__xludf.DUMMYFUNCTION("""COMPUTED_VALUE"""),"")</f>
        <v/>
      </c>
      <c r="J402" s="29" t="str">
        <f ca="1">IFERROR(__xludf.DUMMYFUNCTION("""COMPUTED_VALUE"""),"")</f>
        <v/>
      </c>
      <c r="K402" s="29" t="str">
        <f ca="1">IFERROR(__xludf.DUMMYFUNCTION("""COMPUTED_VALUE"""),"")</f>
        <v/>
      </c>
      <c r="L402" s="29" t="str">
        <f ca="1">IFERROR(__xludf.DUMMYFUNCTION("""COMPUTED_VALUE"""),"")</f>
        <v/>
      </c>
      <c r="M402" s="29" t="str">
        <f ca="1">IFERROR(__xludf.DUMMYFUNCTION("""COMPUTED_VALUE"""),"")</f>
        <v/>
      </c>
      <c r="N402" s="29" t="str">
        <f ca="1">IFERROR(__xludf.DUMMYFUNCTION("""COMPUTED_VALUE"""),"")</f>
        <v/>
      </c>
    </row>
    <row r="403" spans="2:14" ht="12.5">
      <c r="B403" s="2"/>
      <c r="C403" s="2" t="str">
        <f ca="1">IFERROR(__xludf.DUMMYFUNCTION("""COMPUTED_VALUE"""),"")</f>
        <v/>
      </c>
      <c r="D403" s="2" t="str">
        <f ca="1">IFERROR(__xludf.DUMMYFUNCTION("""COMPUTED_VALUE"""),"")</f>
        <v/>
      </c>
      <c r="E403" s="29" t="str">
        <f ca="1">IFERROR(__xludf.DUMMYFUNCTION("""COMPUTED_VALUE"""),"")</f>
        <v/>
      </c>
      <c r="F403" s="30" t="str">
        <f ca="1">IFERROR(__xludf.DUMMYFUNCTION("""COMPUTED_VALUE"""),"")</f>
        <v/>
      </c>
      <c r="G403" s="29" t="str">
        <f ca="1">IFERROR(__xludf.DUMMYFUNCTION("""COMPUTED_VALUE"""),"")</f>
        <v/>
      </c>
      <c r="H403" s="30" t="str">
        <f ca="1">IFERROR(__xludf.DUMMYFUNCTION("""COMPUTED_VALUE"""),"")</f>
        <v/>
      </c>
      <c r="I403" s="29" t="str">
        <f ca="1">IFERROR(__xludf.DUMMYFUNCTION("""COMPUTED_VALUE"""),"")</f>
        <v/>
      </c>
      <c r="J403" s="29" t="str">
        <f ca="1">IFERROR(__xludf.DUMMYFUNCTION("""COMPUTED_VALUE"""),"")</f>
        <v/>
      </c>
      <c r="K403" s="29" t="str">
        <f ca="1">IFERROR(__xludf.DUMMYFUNCTION("""COMPUTED_VALUE"""),"")</f>
        <v/>
      </c>
      <c r="L403" s="29" t="str">
        <f ca="1">IFERROR(__xludf.DUMMYFUNCTION("""COMPUTED_VALUE"""),"")</f>
        <v/>
      </c>
      <c r="M403" s="29" t="str">
        <f ca="1">IFERROR(__xludf.DUMMYFUNCTION("""COMPUTED_VALUE"""),"")</f>
        <v/>
      </c>
      <c r="N403" s="29" t="str">
        <f ca="1">IFERROR(__xludf.DUMMYFUNCTION("""COMPUTED_VALUE"""),"")</f>
        <v/>
      </c>
    </row>
    <row r="404" spans="2:14" ht="12.5">
      <c r="B404" s="2"/>
      <c r="C404" s="2" t="str">
        <f ca="1">IFERROR(__xludf.DUMMYFUNCTION("""COMPUTED_VALUE"""),"")</f>
        <v/>
      </c>
      <c r="D404" s="2" t="str">
        <f ca="1">IFERROR(__xludf.DUMMYFUNCTION("""COMPUTED_VALUE"""),"")</f>
        <v/>
      </c>
      <c r="E404" s="29" t="str">
        <f ca="1">IFERROR(__xludf.DUMMYFUNCTION("""COMPUTED_VALUE"""),"")</f>
        <v/>
      </c>
      <c r="F404" s="30" t="str">
        <f ca="1">IFERROR(__xludf.DUMMYFUNCTION("""COMPUTED_VALUE"""),"")</f>
        <v/>
      </c>
      <c r="G404" s="29" t="str">
        <f ca="1">IFERROR(__xludf.DUMMYFUNCTION("""COMPUTED_VALUE"""),"")</f>
        <v/>
      </c>
      <c r="H404" s="30" t="str">
        <f ca="1">IFERROR(__xludf.DUMMYFUNCTION("""COMPUTED_VALUE"""),"")</f>
        <v/>
      </c>
      <c r="I404" s="29" t="str">
        <f ca="1">IFERROR(__xludf.DUMMYFUNCTION("""COMPUTED_VALUE"""),"")</f>
        <v/>
      </c>
      <c r="J404" s="29" t="str">
        <f ca="1">IFERROR(__xludf.DUMMYFUNCTION("""COMPUTED_VALUE"""),"")</f>
        <v/>
      </c>
      <c r="K404" s="29" t="str">
        <f ca="1">IFERROR(__xludf.DUMMYFUNCTION("""COMPUTED_VALUE"""),"")</f>
        <v/>
      </c>
      <c r="L404" s="29" t="str">
        <f ca="1">IFERROR(__xludf.DUMMYFUNCTION("""COMPUTED_VALUE"""),"")</f>
        <v/>
      </c>
      <c r="M404" s="29" t="str">
        <f ca="1">IFERROR(__xludf.DUMMYFUNCTION("""COMPUTED_VALUE"""),"")</f>
        <v/>
      </c>
      <c r="N404" s="29" t="str">
        <f ca="1">IFERROR(__xludf.DUMMYFUNCTION("""COMPUTED_VALUE"""),"")</f>
        <v/>
      </c>
    </row>
    <row r="405" spans="2:14" ht="12.5">
      <c r="B405" s="2"/>
      <c r="C405" s="2" t="str">
        <f ca="1">IFERROR(__xludf.DUMMYFUNCTION("""COMPUTED_VALUE"""),"")</f>
        <v/>
      </c>
      <c r="D405" s="2" t="str">
        <f ca="1">IFERROR(__xludf.DUMMYFUNCTION("""COMPUTED_VALUE"""),"")</f>
        <v/>
      </c>
      <c r="E405" s="29" t="str">
        <f ca="1">IFERROR(__xludf.DUMMYFUNCTION("""COMPUTED_VALUE"""),"")</f>
        <v/>
      </c>
      <c r="F405" s="30" t="str">
        <f ca="1">IFERROR(__xludf.DUMMYFUNCTION("""COMPUTED_VALUE"""),"")</f>
        <v/>
      </c>
      <c r="G405" s="29" t="str">
        <f ca="1">IFERROR(__xludf.DUMMYFUNCTION("""COMPUTED_VALUE"""),"")</f>
        <v/>
      </c>
      <c r="H405" s="30" t="str">
        <f ca="1">IFERROR(__xludf.DUMMYFUNCTION("""COMPUTED_VALUE"""),"")</f>
        <v/>
      </c>
      <c r="I405" s="29" t="str">
        <f ca="1">IFERROR(__xludf.DUMMYFUNCTION("""COMPUTED_VALUE"""),"")</f>
        <v/>
      </c>
      <c r="J405" s="29" t="str">
        <f ca="1">IFERROR(__xludf.DUMMYFUNCTION("""COMPUTED_VALUE"""),"")</f>
        <v/>
      </c>
      <c r="K405" s="29" t="str">
        <f ca="1">IFERROR(__xludf.DUMMYFUNCTION("""COMPUTED_VALUE"""),"")</f>
        <v/>
      </c>
      <c r="L405" s="29" t="str">
        <f ca="1">IFERROR(__xludf.DUMMYFUNCTION("""COMPUTED_VALUE"""),"")</f>
        <v/>
      </c>
      <c r="M405" s="29" t="str">
        <f ca="1">IFERROR(__xludf.DUMMYFUNCTION("""COMPUTED_VALUE"""),"")</f>
        <v/>
      </c>
      <c r="N405" s="29" t="str">
        <f ca="1">IFERROR(__xludf.DUMMYFUNCTION("""COMPUTED_VALUE"""),"")</f>
        <v/>
      </c>
    </row>
    <row r="406" spans="2:14" ht="12.5">
      <c r="B406" s="2"/>
      <c r="C406" s="2" t="str">
        <f ca="1">IFERROR(__xludf.DUMMYFUNCTION("""COMPUTED_VALUE"""),"")</f>
        <v/>
      </c>
      <c r="D406" s="2" t="str">
        <f ca="1">IFERROR(__xludf.DUMMYFUNCTION("""COMPUTED_VALUE"""),"")</f>
        <v/>
      </c>
      <c r="E406" s="29" t="str">
        <f ca="1">IFERROR(__xludf.DUMMYFUNCTION("""COMPUTED_VALUE"""),"")</f>
        <v/>
      </c>
      <c r="F406" s="30" t="str">
        <f ca="1">IFERROR(__xludf.DUMMYFUNCTION("""COMPUTED_VALUE"""),"")</f>
        <v/>
      </c>
      <c r="G406" s="29" t="str">
        <f ca="1">IFERROR(__xludf.DUMMYFUNCTION("""COMPUTED_VALUE"""),"")</f>
        <v/>
      </c>
      <c r="H406" s="30" t="str">
        <f ca="1">IFERROR(__xludf.DUMMYFUNCTION("""COMPUTED_VALUE"""),"")</f>
        <v/>
      </c>
      <c r="I406" s="29" t="str">
        <f ca="1">IFERROR(__xludf.DUMMYFUNCTION("""COMPUTED_VALUE"""),"")</f>
        <v/>
      </c>
      <c r="J406" s="29" t="str">
        <f ca="1">IFERROR(__xludf.DUMMYFUNCTION("""COMPUTED_VALUE"""),"")</f>
        <v/>
      </c>
      <c r="K406" s="29" t="str">
        <f ca="1">IFERROR(__xludf.DUMMYFUNCTION("""COMPUTED_VALUE"""),"")</f>
        <v/>
      </c>
      <c r="L406" s="29" t="str">
        <f ca="1">IFERROR(__xludf.DUMMYFUNCTION("""COMPUTED_VALUE"""),"")</f>
        <v/>
      </c>
      <c r="M406" s="29" t="str">
        <f ca="1">IFERROR(__xludf.DUMMYFUNCTION("""COMPUTED_VALUE"""),"")</f>
        <v/>
      </c>
      <c r="N406" s="29" t="str">
        <f ca="1">IFERROR(__xludf.DUMMYFUNCTION("""COMPUTED_VALUE"""),"")</f>
        <v/>
      </c>
    </row>
    <row r="407" spans="2:14" ht="12.5">
      <c r="B407" s="2"/>
      <c r="C407" s="2" t="str">
        <f ca="1">IFERROR(__xludf.DUMMYFUNCTION("""COMPUTED_VALUE"""),"")</f>
        <v/>
      </c>
      <c r="D407" s="2" t="str">
        <f ca="1">IFERROR(__xludf.DUMMYFUNCTION("""COMPUTED_VALUE"""),"")</f>
        <v/>
      </c>
      <c r="E407" s="29" t="str">
        <f ca="1">IFERROR(__xludf.DUMMYFUNCTION("""COMPUTED_VALUE"""),"")</f>
        <v/>
      </c>
      <c r="F407" s="30" t="str">
        <f ca="1">IFERROR(__xludf.DUMMYFUNCTION("""COMPUTED_VALUE"""),"")</f>
        <v/>
      </c>
      <c r="G407" s="29" t="str">
        <f ca="1">IFERROR(__xludf.DUMMYFUNCTION("""COMPUTED_VALUE"""),"")</f>
        <v/>
      </c>
      <c r="H407" s="30" t="str">
        <f ca="1">IFERROR(__xludf.DUMMYFUNCTION("""COMPUTED_VALUE"""),"")</f>
        <v/>
      </c>
      <c r="I407" s="29" t="str">
        <f ca="1">IFERROR(__xludf.DUMMYFUNCTION("""COMPUTED_VALUE"""),"")</f>
        <v/>
      </c>
      <c r="J407" s="29" t="str">
        <f ca="1">IFERROR(__xludf.DUMMYFUNCTION("""COMPUTED_VALUE"""),"")</f>
        <v/>
      </c>
      <c r="K407" s="29" t="str">
        <f ca="1">IFERROR(__xludf.DUMMYFUNCTION("""COMPUTED_VALUE"""),"")</f>
        <v/>
      </c>
      <c r="L407" s="29" t="str">
        <f ca="1">IFERROR(__xludf.DUMMYFUNCTION("""COMPUTED_VALUE"""),"")</f>
        <v/>
      </c>
      <c r="M407" s="29" t="str">
        <f ca="1">IFERROR(__xludf.DUMMYFUNCTION("""COMPUTED_VALUE"""),"")</f>
        <v/>
      </c>
      <c r="N407" s="29" t="str">
        <f ca="1">IFERROR(__xludf.DUMMYFUNCTION("""COMPUTED_VALUE"""),"")</f>
        <v/>
      </c>
    </row>
    <row r="408" spans="2:14" ht="12.5">
      <c r="B408" s="2"/>
      <c r="C408" s="2" t="str">
        <f ca="1">IFERROR(__xludf.DUMMYFUNCTION("""COMPUTED_VALUE"""),"")</f>
        <v/>
      </c>
      <c r="D408" s="2" t="str">
        <f ca="1">IFERROR(__xludf.DUMMYFUNCTION("""COMPUTED_VALUE"""),"")</f>
        <v/>
      </c>
      <c r="E408" s="29" t="str">
        <f ca="1">IFERROR(__xludf.DUMMYFUNCTION("""COMPUTED_VALUE"""),"")</f>
        <v/>
      </c>
      <c r="F408" s="30" t="str">
        <f ca="1">IFERROR(__xludf.DUMMYFUNCTION("""COMPUTED_VALUE"""),"")</f>
        <v/>
      </c>
      <c r="G408" s="29" t="str">
        <f ca="1">IFERROR(__xludf.DUMMYFUNCTION("""COMPUTED_VALUE"""),"")</f>
        <v/>
      </c>
      <c r="H408" s="30" t="str">
        <f ca="1">IFERROR(__xludf.DUMMYFUNCTION("""COMPUTED_VALUE"""),"")</f>
        <v/>
      </c>
      <c r="I408" s="29" t="str">
        <f ca="1">IFERROR(__xludf.DUMMYFUNCTION("""COMPUTED_VALUE"""),"")</f>
        <v/>
      </c>
      <c r="J408" s="29" t="str">
        <f ca="1">IFERROR(__xludf.DUMMYFUNCTION("""COMPUTED_VALUE"""),"")</f>
        <v/>
      </c>
      <c r="K408" s="29" t="str">
        <f ca="1">IFERROR(__xludf.DUMMYFUNCTION("""COMPUTED_VALUE"""),"")</f>
        <v/>
      </c>
      <c r="L408" s="29" t="str">
        <f ca="1">IFERROR(__xludf.DUMMYFUNCTION("""COMPUTED_VALUE"""),"")</f>
        <v/>
      </c>
      <c r="M408" s="29" t="str">
        <f ca="1">IFERROR(__xludf.DUMMYFUNCTION("""COMPUTED_VALUE"""),"")</f>
        <v/>
      </c>
      <c r="N408" s="29" t="str">
        <f ca="1">IFERROR(__xludf.DUMMYFUNCTION("""COMPUTED_VALUE"""),"")</f>
        <v/>
      </c>
    </row>
    <row r="409" spans="2:14" ht="12.5">
      <c r="B409" s="2"/>
      <c r="C409" s="2" t="str">
        <f ca="1">IFERROR(__xludf.DUMMYFUNCTION("""COMPUTED_VALUE"""),"")</f>
        <v/>
      </c>
      <c r="D409" s="2" t="str">
        <f ca="1">IFERROR(__xludf.DUMMYFUNCTION("""COMPUTED_VALUE"""),"")</f>
        <v/>
      </c>
      <c r="E409" s="29" t="str">
        <f ca="1">IFERROR(__xludf.DUMMYFUNCTION("""COMPUTED_VALUE"""),"")</f>
        <v/>
      </c>
      <c r="F409" s="30" t="str">
        <f ca="1">IFERROR(__xludf.DUMMYFUNCTION("""COMPUTED_VALUE"""),"")</f>
        <v/>
      </c>
      <c r="G409" s="29" t="str">
        <f ca="1">IFERROR(__xludf.DUMMYFUNCTION("""COMPUTED_VALUE"""),"")</f>
        <v/>
      </c>
      <c r="H409" s="30" t="str">
        <f ca="1">IFERROR(__xludf.DUMMYFUNCTION("""COMPUTED_VALUE"""),"")</f>
        <v/>
      </c>
      <c r="I409" s="29" t="str">
        <f ca="1">IFERROR(__xludf.DUMMYFUNCTION("""COMPUTED_VALUE"""),"")</f>
        <v/>
      </c>
      <c r="J409" s="29" t="str">
        <f ca="1">IFERROR(__xludf.DUMMYFUNCTION("""COMPUTED_VALUE"""),"")</f>
        <v/>
      </c>
      <c r="K409" s="29" t="str">
        <f ca="1">IFERROR(__xludf.DUMMYFUNCTION("""COMPUTED_VALUE"""),"")</f>
        <v/>
      </c>
      <c r="L409" s="29" t="str">
        <f ca="1">IFERROR(__xludf.DUMMYFUNCTION("""COMPUTED_VALUE"""),"")</f>
        <v/>
      </c>
      <c r="M409" s="29" t="str">
        <f ca="1">IFERROR(__xludf.DUMMYFUNCTION("""COMPUTED_VALUE"""),"")</f>
        <v/>
      </c>
      <c r="N409" s="29" t="str">
        <f ca="1">IFERROR(__xludf.DUMMYFUNCTION("""COMPUTED_VALUE"""),"")</f>
        <v/>
      </c>
    </row>
    <row r="410" spans="2:14" ht="12.5">
      <c r="B410" s="2"/>
      <c r="C410" s="2" t="str">
        <f ca="1">IFERROR(__xludf.DUMMYFUNCTION("""COMPUTED_VALUE"""),"")</f>
        <v/>
      </c>
      <c r="D410" s="2" t="str">
        <f ca="1">IFERROR(__xludf.DUMMYFUNCTION("""COMPUTED_VALUE"""),"")</f>
        <v/>
      </c>
      <c r="E410" s="29" t="str">
        <f ca="1">IFERROR(__xludf.DUMMYFUNCTION("""COMPUTED_VALUE"""),"")</f>
        <v/>
      </c>
      <c r="F410" s="30" t="str">
        <f ca="1">IFERROR(__xludf.DUMMYFUNCTION("""COMPUTED_VALUE"""),"")</f>
        <v/>
      </c>
      <c r="G410" s="29" t="str">
        <f ca="1">IFERROR(__xludf.DUMMYFUNCTION("""COMPUTED_VALUE"""),"")</f>
        <v/>
      </c>
      <c r="H410" s="30" t="str">
        <f ca="1">IFERROR(__xludf.DUMMYFUNCTION("""COMPUTED_VALUE"""),"")</f>
        <v/>
      </c>
      <c r="I410" s="29" t="str">
        <f ca="1">IFERROR(__xludf.DUMMYFUNCTION("""COMPUTED_VALUE"""),"")</f>
        <v/>
      </c>
      <c r="J410" s="29" t="str">
        <f ca="1">IFERROR(__xludf.DUMMYFUNCTION("""COMPUTED_VALUE"""),"")</f>
        <v/>
      </c>
      <c r="K410" s="29" t="str">
        <f ca="1">IFERROR(__xludf.DUMMYFUNCTION("""COMPUTED_VALUE"""),"")</f>
        <v/>
      </c>
      <c r="L410" s="29" t="str">
        <f ca="1">IFERROR(__xludf.DUMMYFUNCTION("""COMPUTED_VALUE"""),"")</f>
        <v/>
      </c>
      <c r="M410" s="29" t="str">
        <f ca="1">IFERROR(__xludf.DUMMYFUNCTION("""COMPUTED_VALUE"""),"")</f>
        <v/>
      </c>
      <c r="N410" s="29" t="str">
        <f ca="1">IFERROR(__xludf.DUMMYFUNCTION("""COMPUTED_VALUE"""),"")</f>
        <v/>
      </c>
    </row>
    <row r="411" spans="2:14" ht="12.5">
      <c r="B411" s="2"/>
      <c r="C411" s="2" t="str">
        <f ca="1">IFERROR(__xludf.DUMMYFUNCTION("""COMPUTED_VALUE"""),"")</f>
        <v/>
      </c>
      <c r="D411" s="2" t="str">
        <f ca="1">IFERROR(__xludf.DUMMYFUNCTION("""COMPUTED_VALUE"""),"")</f>
        <v/>
      </c>
      <c r="E411" s="29" t="str">
        <f ca="1">IFERROR(__xludf.DUMMYFUNCTION("""COMPUTED_VALUE"""),"")</f>
        <v/>
      </c>
      <c r="F411" s="30" t="str">
        <f ca="1">IFERROR(__xludf.DUMMYFUNCTION("""COMPUTED_VALUE"""),"")</f>
        <v/>
      </c>
      <c r="G411" s="29" t="str">
        <f ca="1">IFERROR(__xludf.DUMMYFUNCTION("""COMPUTED_VALUE"""),"")</f>
        <v/>
      </c>
      <c r="H411" s="30" t="str">
        <f ca="1">IFERROR(__xludf.DUMMYFUNCTION("""COMPUTED_VALUE"""),"")</f>
        <v/>
      </c>
      <c r="I411" s="29" t="str">
        <f ca="1">IFERROR(__xludf.DUMMYFUNCTION("""COMPUTED_VALUE"""),"")</f>
        <v/>
      </c>
      <c r="J411" s="29" t="str">
        <f ca="1">IFERROR(__xludf.DUMMYFUNCTION("""COMPUTED_VALUE"""),"")</f>
        <v/>
      </c>
      <c r="K411" s="29" t="str">
        <f ca="1">IFERROR(__xludf.DUMMYFUNCTION("""COMPUTED_VALUE"""),"")</f>
        <v/>
      </c>
      <c r="L411" s="29" t="str">
        <f ca="1">IFERROR(__xludf.DUMMYFUNCTION("""COMPUTED_VALUE"""),"")</f>
        <v/>
      </c>
      <c r="M411" s="29" t="str">
        <f ca="1">IFERROR(__xludf.DUMMYFUNCTION("""COMPUTED_VALUE"""),"")</f>
        <v/>
      </c>
      <c r="N411" s="29" t="str">
        <f ca="1">IFERROR(__xludf.DUMMYFUNCTION("""COMPUTED_VALUE"""),"")</f>
        <v/>
      </c>
    </row>
    <row r="412" spans="2:14" ht="12.5">
      <c r="B412" s="2"/>
      <c r="C412" s="2" t="str">
        <f ca="1">IFERROR(__xludf.DUMMYFUNCTION("""COMPUTED_VALUE"""),"")</f>
        <v/>
      </c>
      <c r="D412" s="2" t="str">
        <f ca="1">IFERROR(__xludf.DUMMYFUNCTION("""COMPUTED_VALUE"""),"")</f>
        <v/>
      </c>
      <c r="E412" s="29" t="str">
        <f ca="1">IFERROR(__xludf.DUMMYFUNCTION("""COMPUTED_VALUE"""),"")</f>
        <v/>
      </c>
      <c r="F412" s="30" t="str">
        <f ca="1">IFERROR(__xludf.DUMMYFUNCTION("""COMPUTED_VALUE"""),"")</f>
        <v/>
      </c>
      <c r="G412" s="29" t="str">
        <f ca="1">IFERROR(__xludf.DUMMYFUNCTION("""COMPUTED_VALUE"""),"")</f>
        <v/>
      </c>
      <c r="H412" s="30" t="str">
        <f ca="1">IFERROR(__xludf.DUMMYFUNCTION("""COMPUTED_VALUE"""),"")</f>
        <v/>
      </c>
      <c r="I412" s="29" t="str">
        <f ca="1">IFERROR(__xludf.DUMMYFUNCTION("""COMPUTED_VALUE"""),"")</f>
        <v/>
      </c>
      <c r="J412" s="29" t="str">
        <f ca="1">IFERROR(__xludf.DUMMYFUNCTION("""COMPUTED_VALUE"""),"")</f>
        <v/>
      </c>
      <c r="K412" s="29" t="str">
        <f ca="1">IFERROR(__xludf.DUMMYFUNCTION("""COMPUTED_VALUE"""),"")</f>
        <v/>
      </c>
      <c r="L412" s="29" t="str">
        <f ca="1">IFERROR(__xludf.DUMMYFUNCTION("""COMPUTED_VALUE"""),"")</f>
        <v/>
      </c>
      <c r="M412" s="29" t="str">
        <f ca="1">IFERROR(__xludf.DUMMYFUNCTION("""COMPUTED_VALUE"""),"")</f>
        <v/>
      </c>
      <c r="N412" s="29" t="str">
        <f ca="1">IFERROR(__xludf.DUMMYFUNCTION("""COMPUTED_VALUE"""),"")</f>
        <v/>
      </c>
    </row>
    <row r="413" spans="2:14" ht="12.5">
      <c r="B413" s="2"/>
      <c r="C413" s="2" t="str">
        <f ca="1">IFERROR(__xludf.DUMMYFUNCTION("""COMPUTED_VALUE"""),"")</f>
        <v/>
      </c>
      <c r="D413" s="2" t="str">
        <f ca="1">IFERROR(__xludf.DUMMYFUNCTION("""COMPUTED_VALUE"""),"")</f>
        <v/>
      </c>
      <c r="E413" s="29" t="str">
        <f ca="1">IFERROR(__xludf.DUMMYFUNCTION("""COMPUTED_VALUE"""),"")</f>
        <v/>
      </c>
      <c r="F413" s="30" t="str">
        <f ca="1">IFERROR(__xludf.DUMMYFUNCTION("""COMPUTED_VALUE"""),"")</f>
        <v/>
      </c>
      <c r="G413" s="29" t="str">
        <f ca="1">IFERROR(__xludf.DUMMYFUNCTION("""COMPUTED_VALUE"""),"")</f>
        <v/>
      </c>
      <c r="H413" s="30" t="str">
        <f ca="1">IFERROR(__xludf.DUMMYFUNCTION("""COMPUTED_VALUE"""),"")</f>
        <v/>
      </c>
      <c r="I413" s="29" t="str">
        <f ca="1">IFERROR(__xludf.DUMMYFUNCTION("""COMPUTED_VALUE"""),"")</f>
        <v/>
      </c>
      <c r="J413" s="29" t="str">
        <f ca="1">IFERROR(__xludf.DUMMYFUNCTION("""COMPUTED_VALUE"""),"")</f>
        <v/>
      </c>
      <c r="K413" s="29" t="str">
        <f ca="1">IFERROR(__xludf.DUMMYFUNCTION("""COMPUTED_VALUE"""),"")</f>
        <v/>
      </c>
      <c r="L413" s="29" t="str">
        <f ca="1">IFERROR(__xludf.DUMMYFUNCTION("""COMPUTED_VALUE"""),"")</f>
        <v/>
      </c>
      <c r="M413" s="29" t="str">
        <f ca="1">IFERROR(__xludf.DUMMYFUNCTION("""COMPUTED_VALUE"""),"")</f>
        <v/>
      </c>
      <c r="N413" s="29" t="str">
        <f ca="1">IFERROR(__xludf.DUMMYFUNCTION("""COMPUTED_VALUE"""),"")</f>
        <v/>
      </c>
    </row>
    <row r="414" spans="2:14" ht="12.5">
      <c r="B414" s="2"/>
      <c r="C414" s="2" t="str">
        <f ca="1">IFERROR(__xludf.DUMMYFUNCTION("""COMPUTED_VALUE"""),"")</f>
        <v/>
      </c>
      <c r="D414" s="2" t="str">
        <f ca="1">IFERROR(__xludf.DUMMYFUNCTION("""COMPUTED_VALUE"""),"")</f>
        <v/>
      </c>
      <c r="E414" s="29" t="str">
        <f ca="1">IFERROR(__xludf.DUMMYFUNCTION("""COMPUTED_VALUE"""),"")</f>
        <v/>
      </c>
      <c r="F414" s="30" t="str">
        <f ca="1">IFERROR(__xludf.DUMMYFUNCTION("""COMPUTED_VALUE"""),"")</f>
        <v/>
      </c>
      <c r="G414" s="29" t="str">
        <f ca="1">IFERROR(__xludf.DUMMYFUNCTION("""COMPUTED_VALUE"""),"")</f>
        <v/>
      </c>
      <c r="H414" s="30" t="str">
        <f ca="1">IFERROR(__xludf.DUMMYFUNCTION("""COMPUTED_VALUE"""),"")</f>
        <v/>
      </c>
      <c r="I414" s="29" t="str">
        <f ca="1">IFERROR(__xludf.DUMMYFUNCTION("""COMPUTED_VALUE"""),"")</f>
        <v/>
      </c>
      <c r="J414" s="29" t="str">
        <f ca="1">IFERROR(__xludf.DUMMYFUNCTION("""COMPUTED_VALUE"""),"")</f>
        <v/>
      </c>
      <c r="K414" s="29" t="str">
        <f ca="1">IFERROR(__xludf.DUMMYFUNCTION("""COMPUTED_VALUE"""),"")</f>
        <v/>
      </c>
      <c r="L414" s="29" t="str">
        <f ca="1">IFERROR(__xludf.DUMMYFUNCTION("""COMPUTED_VALUE"""),"")</f>
        <v/>
      </c>
      <c r="M414" s="29" t="str">
        <f ca="1">IFERROR(__xludf.DUMMYFUNCTION("""COMPUTED_VALUE"""),"")</f>
        <v/>
      </c>
      <c r="N414" s="29" t="str">
        <f ca="1">IFERROR(__xludf.DUMMYFUNCTION("""COMPUTED_VALUE"""),"")</f>
        <v/>
      </c>
    </row>
    <row r="415" spans="2:14" ht="12.5">
      <c r="B415" s="2"/>
      <c r="C415" s="2" t="str">
        <f ca="1">IFERROR(__xludf.DUMMYFUNCTION("""COMPUTED_VALUE"""),"")</f>
        <v/>
      </c>
      <c r="D415" s="2" t="str">
        <f ca="1">IFERROR(__xludf.DUMMYFUNCTION("""COMPUTED_VALUE"""),"")</f>
        <v/>
      </c>
      <c r="E415" s="29" t="str">
        <f ca="1">IFERROR(__xludf.DUMMYFUNCTION("""COMPUTED_VALUE"""),"")</f>
        <v/>
      </c>
      <c r="F415" s="30" t="str">
        <f ca="1">IFERROR(__xludf.DUMMYFUNCTION("""COMPUTED_VALUE"""),"")</f>
        <v/>
      </c>
      <c r="G415" s="29" t="str">
        <f ca="1">IFERROR(__xludf.DUMMYFUNCTION("""COMPUTED_VALUE"""),"")</f>
        <v/>
      </c>
      <c r="H415" s="30" t="str">
        <f ca="1">IFERROR(__xludf.DUMMYFUNCTION("""COMPUTED_VALUE"""),"")</f>
        <v/>
      </c>
      <c r="I415" s="29" t="str">
        <f ca="1">IFERROR(__xludf.DUMMYFUNCTION("""COMPUTED_VALUE"""),"")</f>
        <v/>
      </c>
      <c r="J415" s="29" t="str">
        <f ca="1">IFERROR(__xludf.DUMMYFUNCTION("""COMPUTED_VALUE"""),"")</f>
        <v/>
      </c>
      <c r="K415" s="29" t="str">
        <f ca="1">IFERROR(__xludf.DUMMYFUNCTION("""COMPUTED_VALUE"""),"")</f>
        <v/>
      </c>
      <c r="L415" s="29" t="str">
        <f ca="1">IFERROR(__xludf.DUMMYFUNCTION("""COMPUTED_VALUE"""),"")</f>
        <v/>
      </c>
      <c r="M415" s="29" t="str">
        <f ca="1">IFERROR(__xludf.DUMMYFUNCTION("""COMPUTED_VALUE"""),"")</f>
        <v/>
      </c>
      <c r="N415" s="29" t="str">
        <f ca="1">IFERROR(__xludf.DUMMYFUNCTION("""COMPUTED_VALUE"""),"")</f>
        <v/>
      </c>
    </row>
    <row r="416" spans="2:14" ht="12.5">
      <c r="B416" s="2"/>
      <c r="C416" s="2" t="str">
        <f ca="1">IFERROR(__xludf.DUMMYFUNCTION("""COMPUTED_VALUE"""),"")</f>
        <v/>
      </c>
      <c r="D416" s="2" t="str">
        <f ca="1">IFERROR(__xludf.DUMMYFUNCTION("""COMPUTED_VALUE"""),"")</f>
        <v/>
      </c>
      <c r="E416" s="29" t="str">
        <f ca="1">IFERROR(__xludf.DUMMYFUNCTION("""COMPUTED_VALUE"""),"")</f>
        <v/>
      </c>
      <c r="F416" s="30" t="str">
        <f ca="1">IFERROR(__xludf.DUMMYFUNCTION("""COMPUTED_VALUE"""),"")</f>
        <v/>
      </c>
      <c r="G416" s="29" t="str">
        <f ca="1">IFERROR(__xludf.DUMMYFUNCTION("""COMPUTED_VALUE"""),"")</f>
        <v/>
      </c>
      <c r="H416" s="30" t="str">
        <f ca="1">IFERROR(__xludf.DUMMYFUNCTION("""COMPUTED_VALUE"""),"")</f>
        <v/>
      </c>
      <c r="I416" s="29" t="str">
        <f ca="1">IFERROR(__xludf.DUMMYFUNCTION("""COMPUTED_VALUE"""),"")</f>
        <v/>
      </c>
      <c r="J416" s="29" t="str">
        <f ca="1">IFERROR(__xludf.DUMMYFUNCTION("""COMPUTED_VALUE"""),"")</f>
        <v/>
      </c>
      <c r="K416" s="29" t="str">
        <f ca="1">IFERROR(__xludf.DUMMYFUNCTION("""COMPUTED_VALUE"""),"")</f>
        <v/>
      </c>
      <c r="L416" s="29" t="str">
        <f ca="1">IFERROR(__xludf.DUMMYFUNCTION("""COMPUTED_VALUE"""),"")</f>
        <v/>
      </c>
      <c r="M416" s="29" t="str">
        <f ca="1">IFERROR(__xludf.DUMMYFUNCTION("""COMPUTED_VALUE"""),"")</f>
        <v/>
      </c>
      <c r="N416" s="29" t="str">
        <f ca="1">IFERROR(__xludf.DUMMYFUNCTION("""COMPUTED_VALUE"""),"")</f>
        <v/>
      </c>
    </row>
    <row r="417" spans="2:14" ht="12.5">
      <c r="B417" s="2"/>
      <c r="C417" s="2" t="str">
        <f ca="1">IFERROR(__xludf.DUMMYFUNCTION("""COMPUTED_VALUE"""),"")</f>
        <v/>
      </c>
      <c r="D417" s="2" t="str">
        <f ca="1">IFERROR(__xludf.DUMMYFUNCTION("""COMPUTED_VALUE"""),"")</f>
        <v/>
      </c>
      <c r="E417" s="29" t="str">
        <f ca="1">IFERROR(__xludf.DUMMYFUNCTION("""COMPUTED_VALUE"""),"")</f>
        <v/>
      </c>
      <c r="F417" s="30" t="str">
        <f ca="1">IFERROR(__xludf.DUMMYFUNCTION("""COMPUTED_VALUE"""),"")</f>
        <v/>
      </c>
      <c r="G417" s="29" t="str">
        <f ca="1">IFERROR(__xludf.DUMMYFUNCTION("""COMPUTED_VALUE"""),"")</f>
        <v/>
      </c>
      <c r="H417" s="30" t="str">
        <f ca="1">IFERROR(__xludf.DUMMYFUNCTION("""COMPUTED_VALUE"""),"")</f>
        <v/>
      </c>
      <c r="I417" s="29" t="str">
        <f ca="1">IFERROR(__xludf.DUMMYFUNCTION("""COMPUTED_VALUE"""),"")</f>
        <v/>
      </c>
      <c r="J417" s="29" t="str">
        <f ca="1">IFERROR(__xludf.DUMMYFUNCTION("""COMPUTED_VALUE"""),"")</f>
        <v/>
      </c>
      <c r="K417" s="29" t="str">
        <f ca="1">IFERROR(__xludf.DUMMYFUNCTION("""COMPUTED_VALUE"""),"")</f>
        <v/>
      </c>
      <c r="L417" s="29" t="str">
        <f ca="1">IFERROR(__xludf.DUMMYFUNCTION("""COMPUTED_VALUE"""),"")</f>
        <v/>
      </c>
      <c r="M417" s="29" t="str">
        <f ca="1">IFERROR(__xludf.DUMMYFUNCTION("""COMPUTED_VALUE"""),"")</f>
        <v/>
      </c>
      <c r="N417" s="29" t="str">
        <f ca="1">IFERROR(__xludf.DUMMYFUNCTION("""COMPUTED_VALUE"""),"")</f>
        <v/>
      </c>
    </row>
    <row r="418" spans="2:14" ht="12.5">
      <c r="B418" s="2"/>
      <c r="C418" s="2" t="str">
        <f ca="1">IFERROR(__xludf.DUMMYFUNCTION("""COMPUTED_VALUE"""),"")</f>
        <v/>
      </c>
      <c r="D418" s="2" t="str">
        <f ca="1">IFERROR(__xludf.DUMMYFUNCTION("""COMPUTED_VALUE"""),"")</f>
        <v/>
      </c>
      <c r="E418" s="29" t="str">
        <f ca="1">IFERROR(__xludf.DUMMYFUNCTION("""COMPUTED_VALUE"""),"")</f>
        <v/>
      </c>
      <c r="F418" s="30" t="str">
        <f ca="1">IFERROR(__xludf.DUMMYFUNCTION("""COMPUTED_VALUE"""),"")</f>
        <v/>
      </c>
      <c r="G418" s="29" t="str">
        <f ca="1">IFERROR(__xludf.DUMMYFUNCTION("""COMPUTED_VALUE"""),"")</f>
        <v/>
      </c>
      <c r="H418" s="30" t="str">
        <f ca="1">IFERROR(__xludf.DUMMYFUNCTION("""COMPUTED_VALUE"""),"")</f>
        <v/>
      </c>
      <c r="I418" s="29" t="str">
        <f ca="1">IFERROR(__xludf.DUMMYFUNCTION("""COMPUTED_VALUE"""),"")</f>
        <v/>
      </c>
      <c r="J418" s="29" t="str">
        <f ca="1">IFERROR(__xludf.DUMMYFUNCTION("""COMPUTED_VALUE"""),"")</f>
        <v/>
      </c>
      <c r="K418" s="29" t="str">
        <f ca="1">IFERROR(__xludf.DUMMYFUNCTION("""COMPUTED_VALUE"""),"")</f>
        <v/>
      </c>
      <c r="L418" s="29" t="str">
        <f ca="1">IFERROR(__xludf.DUMMYFUNCTION("""COMPUTED_VALUE"""),"")</f>
        <v/>
      </c>
      <c r="M418" s="29" t="str">
        <f ca="1">IFERROR(__xludf.DUMMYFUNCTION("""COMPUTED_VALUE"""),"")</f>
        <v/>
      </c>
      <c r="N418" s="29" t="str">
        <f ca="1">IFERROR(__xludf.DUMMYFUNCTION("""COMPUTED_VALUE"""),"")</f>
        <v/>
      </c>
    </row>
    <row r="419" spans="2:14" ht="12.5">
      <c r="B419" s="2"/>
      <c r="C419" s="2" t="str">
        <f ca="1">IFERROR(__xludf.DUMMYFUNCTION("""COMPUTED_VALUE"""),"")</f>
        <v/>
      </c>
      <c r="D419" s="2" t="str">
        <f ca="1">IFERROR(__xludf.DUMMYFUNCTION("""COMPUTED_VALUE"""),"")</f>
        <v/>
      </c>
      <c r="E419" s="29" t="str">
        <f ca="1">IFERROR(__xludf.DUMMYFUNCTION("""COMPUTED_VALUE"""),"")</f>
        <v/>
      </c>
      <c r="F419" s="30" t="str">
        <f ca="1">IFERROR(__xludf.DUMMYFUNCTION("""COMPUTED_VALUE"""),"")</f>
        <v/>
      </c>
      <c r="G419" s="29" t="str">
        <f ca="1">IFERROR(__xludf.DUMMYFUNCTION("""COMPUTED_VALUE"""),"")</f>
        <v/>
      </c>
      <c r="H419" s="30" t="str">
        <f ca="1">IFERROR(__xludf.DUMMYFUNCTION("""COMPUTED_VALUE"""),"")</f>
        <v/>
      </c>
      <c r="I419" s="29" t="str">
        <f ca="1">IFERROR(__xludf.DUMMYFUNCTION("""COMPUTED_VALUE"""),"")</f>
        <v/>
      </c>
      <c r="J419" s="29" t="str">
        <f ca="1">IFERROR(__xludf.DUMMYFUNCTION("""COMPUTED_VALUE"""),"")</f>
        <v/>
      </c>
      <c r="K419" s="29" t="str">
        <f ca="1">IFERROR(__xludf.DUMMYFUNCTION("""COMPUTED_VALUE"""),"")</f>
        <v/>
      </c>
      <c r="L419" s="29" t="str">
        <f ca="1">IFERROR(__xludf.DUMMYFUNCTION("""COMPUTED_VALUE"""),"")</f>
        <v/>
      </c>
      <c r="M419" s="29" t="str">
        <f ca="1">IFERROR(__xludf.DUMMYFUNCTION("""COMPUTED_VALUE"""),"")</f>
        <v/>
      </c>
      <c r="N419" s="29" t="str">
        <f ca="1">IFERROR(__xludf.DUMMYFUNCTION("""COMPUTED_VALUE"""),"")</f>
        <v/>
      </c>
    </row>
    <row r="420" spans="2:14" ht="12.5">
      <c r="B420" s="2"/>
      <c r="C420" s="2" t="str">
        <f ca="1">IFERROR(__xludf.DUMMYFUNCTION("""COMPUTED_VALUE"""),"")</f>
        <v/>
      </c>
      <c r="D420" s="2" t="str">
        <f ca="1">IFERROR(__xludf.DUMMYFUNCTION("""COMPUTED_VALUE"""),"")</f>
        <v/>
      </c>
      <c r="E420" s="29" t="str">
        <f ca="1">IFERROR(__xludf.DUMMYFUNCTION("""COMPUTED_VALUE"""),"")</f>
        <v/>
      </c>
      <c r="F420" s="30" t="str">
        <f ca="1">IFERROR(__xludf.DUMMYFUNCTION("""COMPUTED_VALUE"""),"")</f>
        <v/>
      </c>
      <c r="G420" s="29" t="str">
        <f ca="1">IFERROR(__xludf.DUMMYFUNCTION("""COMPUTED_VALUE"""),"")</f>
        <v/>
      </c>
      <c r="H420" s="30" t="str">
        <f ca="1">IFERROR(__xludf.DUMMYFUNCTION("""COMPUTED_VALUE"""),"")</f>
        <v/>
      </c>
      <c r="I420" s="29" t="str">
        <f ca="1">IFERROR(__xludf.DUMMYFUNCTION("""COMPUTED_VALUE"""),"")</f>
        <v/>
      </c>
      <c r="J420" s="29" t="str">
        <f ca="1">IFERROR(__xludf.DUMMYFUNCTION("""COMPUTED_VALUE"""),"")</f>
        <v/>
      </c>
      <c r="K420" s="29" t="str">
        <f ca="1">IFERROR(__xludf.DUMMYFUNCTION("""COMPUTED_VALUE"""),"")</f>
        <v/>
      </c>
      <c r="L420" s="29" t="str">
        <f ca="1">IFERROR(__xludf.DUMMYFUNCTION("""COMPUTED_VALUE"""),"")</f>
        <v/>
      </c>
      <c r="M420" s="29" t="str">
        <f ca="1">IFERROR(__xludf.DUMMYFUNCTION("""COMPUTED_VALUE"""),"")</f>
        <v/>
      </c>
      <c r="N420" s="29" t="str">
        <f ca="1">IFERROR(__xludf.DUMMYFUNCTION("""COMPUTED_VALUE"""),"")</f>
        <v/>
      </c>
    </row>
    <row r="421" spans="2:14" ht="12.5">
      <c r="B421" s="2"/>
      <c r="C421" s="2" t="str">
        <f ca="1">IFERROR(__xludf.DUMMYFUNCTION("""COMPUTED_VALUE"""),"")</f>
        <v/>
      </c>
      <c r="D421" s="2" t="str">
        <f ca="1">IFERROR(__xludf.DUMMYFUNCTION("""COMPUTED_VALUE"""),"")</f>
        <v/>
      </c>
      <c r="E421" s="29" t="str">
        <f ca="1">IFERROR(__xludf.DUMMYFUNCTION("""COMPUTED_VALUE"""),"")</f>
        <v/>
      </c>
      <c r="F421" s="30" t="str">
        <f ca="1">IFERROR(__xludf.DUMMYFUNCTION("""COMPUTED_VALUE"""),"")</f>
        <v/>
      </c>
      <c r="G421" s="29" t="str">
        <f ca="1">IFERROR(__xludf.DUMMYFUNCTION("""COMPUTED_VALUE"""),"")</f>
        <v/>
      </c>
      <c r="H421" s="30" t="str">
        <f ca="1">IFERROR(__xludf.DUMMYFUNCTION("""COMPUTED_VALUE"""),"")</f>
        <v/>
      </c>
      <c r="I421" s="29" t="str">
        <f ca="1">IFERROR(__xludf.DUMMYFUNCTION("""COMPUTED_VALUE"""),"")</f>
        <v/>
      </c>
      <c r="J421" s="29" t="str">
        <f ca="1">IFERROR(__xludf.DUMMYFUNCTION("""COMPUTED_VALUE"""),"")</f>
        <v/>
      </c>
      <c r="K421" s="29" t="str">
        <f ca="1">IFERROR(__xludf.DUMMYFUNCTION("""COMPUTED_VALUE"""),"")</f>
        <v/>
      </c>
      <c r="L421" s="29" t="str">
        <f ca="1">IFERROR(__xludf.DUMMYFUNCTION("""COMPUTED_VALUE"""),"")</f>
        <v/>
      </c>
      <c r="M421" s="29" t="str">
        <f ca="1">IFERROR(__xludf.DUMMYFUNCTION("""COMPUTED_VALUE"""),"")</f>
        <v/>
      </c>
      <c r="N421" s="29" t="str">
        <f ca="1">IFERROR(__xludf.DUMMYFUNCTION("""COMPUTED_VALUE"""),"")</f>
        <v/>
      </c>
    </row>
    <row r="422" spans="2:14" ht="12.5">
      <c r="B422" s="2"/>
      <c r="C422" s="2" t="str">
        <f ca="1">IFERROR(__xludf.DUMMYFUNCTION("""COMPUTED_VALUE"""),"")</f>
        <v/>
      </c>
      <c r="D422" s="2" t="str">
        <f ca="1">IFERROR(__xludf.DUMMYFUNCTION("""COMPUTED_VALUE"""),"")</f>
        <v/>
      </c>
      <c r="E422" s="29" t="str">
        <f ca="1">IFERROR(__xludf.DUMMYFUNCTION("""COMPUTED_VALUE"""),"")</f>
        <v/>
      </c>
      <c r="F422" s="30" t="str">
        <f ca="1">IFERROR(__xludf.DUMMYFUNCTION("""COMPUTED_VALUE"""),"")</f>
        <v/>
      </c>
      <c r="G422" s="29" t="str">
        <f ca="1">IFERROR(__xludf.DUMMYFUNCTION("""COMPUTED_VALUE"""),"")</f>
        <v/>
      </c>
      <c r="H422" s="30" t="str">
        <f ca="1">IFERROR(__xludf.DUMMYFUNCTION("""COMPUTED_VALUE"""),"")</f>
        <v/>
      </c>
      <c r="I422" s="29" t="str">
        <f ca="1">IFERROR(__xludf.DUMMYFUNCTION("""COMPUTED_VALUE"""),"")</f>
        <v/>
      </c>
      <c r="J422" s="29" t="str">
        <f ca="1">IFERROR(__xludf.DUMMYFUNCTION("""COMPUTED_VALUE"""),"")</f>
        <v/>
      </c>
      <c r="K422" s="29" t="str">
        <f ca="1">IFERROR(__xludf.DUMMYFUNCTION("""COMPUTED_VALUE"""),"")</f>
        <v/>
      </c>
      <c r="L422" s="29" t="str">
        <f ca="1">IFERROR(__xludf.DUMMYFUNCTION("""COMPUTED_VALUE"""),"")</f>
        <v/>
      </c>
      <c r="M422" s="29" t="str">
        <f ca="1">IFERROR(__xludf.DUMMYFUNCTION("""COMPUTED_VALUE"""),"")</f>
        <v/>
      </c>
      <c r="N422" s="29" t="str">
        <f ca="1">IFERROR(__xludf.DUMMYFUNCTION("""COMPUTED_VALUE"""),"")</f>
        <v/>
      </c>
    </row>
    <row r="423" spans="2:14" ht="12.5">
      <c r="B423" s="2"/>
      <c r="C423" s="2" t="str">
        <f ca="1">IFERROR(__xludf.DUMMYFUNCTION("""COMPUTED_VALUE"""),"")</f>
        <v/>
      </c>
      <c r="D423" s="2" t="str">
        <f ca="1">IFERROR(__xludf.DUMMYFUNCTION("""COMPUTED_VALUE"""),"")</f>
        <v/>
      </c>
      <c r="E423" s="29" t="str">
        <f ca="1">IFERROR(__xludf.DUMMYFUNCTION("""COMPUTED_VALUE"""),"")</f>
        <v/>
      </c>
      <c r="F423" s="30" t="str">
        <f ca="1">IFERROR(__xludf.DUMMYFUNCTION("""COMPUTED_VALUE"""),"")</f>
        <v/>
      </c>
      <c r="G423" s="29" t="str">
        <f ca="1">IFERROR(__xludf.DUMMYFUNCTION("""COMPUTED_VALUE"""),"")</f>
        <v/>
      </c>
      <c r="H423" s="30" t="str">
        <f ca="1">IFERROR(__xludf.DUMMYFUNCTION("""COMPUTED_VALUE"""),"")</f>
        <v/>
      </c>
      <c r="I423" s="29" t="str">
        <f ca="1">IFERROR(__xludf.DUMMYFUNCTION("""COMPUTED_VALUE"""),"")</f>
        <v/>
      </c>
      <c r="J423" s="29" t="str">
        <f ca="1">IFERROR(__xludf.DUMMYFUNCTION("""COMPUTED_VALUE"""),"")</f>
        <v/>
      </c>
      <c r="K423" s="29" t="str">
        <f ca="1">IFERROR(__xludf.DUMMYFUNCTION("""COMPUTED_VALUE"""),"")</f>
        <v/>
      </c>
      <c r="L423" s="29" t="str">
        <f ca="1">IFERROR(__xludf.DUMMYFUNCTION("""COMPUTED_VALUE"""),"")</f>
        <v/>
      </c>
      <c r="M423" s="29" t="str">
        <f ca="1">IFERROR(__xludf.DUMMYFUNCTION("""COMPUTED_VALUE"""),"")</f>
        <v/>
      </c>
      <c r="N423" s="29" t="str">
        <f ca="1">IFERROR(__xludf.DUMMYFUNCTION("""COMPUTED_VALUE"""),"")</f>
        <v/>
      </c>
    </row>
    <row r="424" spans="2:14" ht="12.5">
      <c r="B424" s="2"/>
      <c r="C424" s="2" t="str">
        <f ca="1">IFERROR(__xludf.DUMMYFUNCTION("""COMPUTED_VALUE"""),"")</f>
        <v/>
      </c>
      <c r="D424" s="2" t="str">
        <f ca="1">IFERROR(__xludf.DUMMYFUNCTION("""COMPUTED_VALUE"""),"")</f>
        <v/>
      </c>
      <c r="E424" s="29" t="str">
        <f ca="1">IFERROR(__xludf.DUMMYFUNCTION("""COMPUTED_VALUE"""),"")</f>
        <v/>
      </c>
      <c r="F424" s="30" t="str">
        <f ca="1">IFERROR(__xludf.DUMMYFUNCTION("""COMPUTED_VALUE"""),"")</f>
        <v/>
      </c>
      <c r="G424" s="29" t="str">
        <f ca="1">IFERROR(__xludf.DUMMYFUNCTION("""COMPUTED_VALUE"""),"")</f>
        <v/>
      </c>
      <c r="H424" s="30" t="str">
        <f ca="1">IFERROR(__xludf.DUMMYFUNCTION("""COMPUTED_VALUE"""),"")</f>
        <v/>
      </c>
      <c r="I424" s="29" t="str">
        <f ca="1">IFERROR(__xludf.DUMMYFUNCTION("""COMPUTED_VALUE"""),"")</f>
        <v/>
      </c>
      <c r="J424" s="29" t="str">
        <f ca="1">IFERROR(__xludf.DUMMYFUNCTION("""COMPUTED_VALUE"""),"")</f>
        <v/>
      </c>
      <c r="K424" s="29" t="str">
        <f ca="1">IFERROR(__xludf.DUMMYFUNCTION("""COMPUTED_VALUE"""),"")</f>
        <v/>
      </c>
      <c r="L424" s="29" t="str">
        <f ca="1">IFERROR(__xludf.DUMMYFUNCTION("""COMPUTED_VALUE"""),"")</f>
        <v/>
      </c>
      <c r="M424" s="29" t="str">
        <f ca="1">IFERROR(__xludf.DUMMYFUNCTION("""COMPUTED_VALUE"""),"")</f>
        <v/>
      </c>
      <c r="N424" s="29" t="str">
        <f ca="1">IFERROR(__xludf.DUMMYFUNCTION("""COMPUTED_VALUE"""),"")</f>
        <v/>
      </c>
    </row>
    <row r="425" spans="2:14" ht="12.5">
      <c r="B425" s="2"/>
      <c r="C425" s="2" t="str">
        <f ca="1">IFERROR(__xludf.DUMMYFUNCTION("""COMPUTED_VALUE"""),"")</f>
        <v/>
      </c>
      <c r="D425" s="2" t="str">
        <f ca="1">IFERROR(__xludf.DUMMYFUNCTION("""COMPUTED_VALUE"""),"")</f>
        <v/>
      </c>
      <c r="E425" s="29" t="str">
        <f ca="1">IFERROR(__xludf.DUMMYFUNCTION("""COMPUTED_VALUE"""),"")</f>
        <v/>
      </c>
      <c r="F425" s="30" t="str">
        <f ca="1">IFERROR(__xludf.DUMMYFUNCTION("""COMPUTED_VALUE"""),"")</f>
        <v/>
      </c>
      <c r="G425" s="29" t="str">
        <f ca="1">IFERROR(__xludf.DUMMYFUNCTION("""COMPUTED_VALUE"""),"")</f>
        <v/>
      </c>
      <c r="H425" s="30" t="str">
        <f ca="1">IFERROR(__xludf.DUMMYFUNCTION("""COMPUTED_VALUE"""),"")</f>
        <v/>
      </c>
      <c r="I425" s="29" t="str">
        <f ca="1">IFERROR(__xludf.DUMMYFUNCTION("""COMPUTED_VALUE"""),"")</f>
        <v/>
      </c>
      <c r="J425" s="29" t="str">
        <f ca="1">IFERROR(__xludf.DUMMYFUNCTION("""COMPUTED_VALUE"""),"")</f>
        <v/>
      </c>
      <c r="K425" s="29" t="str">
        <f ca="1">IFERROR(__xludf.DUMMYFUNCTION("""COMPUTED_VALUE"""),"")</f>
        <v/>
      </c>
      <c r="L425" s="29" t="str">
        <f ca="1">IFERROR(__xludf.DUMMYFUNCTION("""COMPUTED_VALUE"""),"")</f>
        <v/>
      </c>
      <c r="M425" s="29" t="str">
        <f ca="1">IFERROR(__xludf.DUMMYFUNCTION("""COMPUTED_VALUE"""),"")</f>
        <v/>
      </c>
      <c r="N425" s="29" t="str">
        <f ca="1">IFERROR(__xludf.DUMMYFUNCTION("""COMPUTED_VALUE"""),"")</f>
        <v/>
      </c>
    </row>
    <row r="426" spans="2:14" ht="12.5">
      <c r="B426" s="2"/>
      <c r="C426" s="2" t="str">
        <f ca="1">IFERROR(__xludf.DUMMYFUNCTION("""COMPUTED_VALUE"""),"")</f>
        <v/>
      </c>
      <c r="D426" s="2" t="str">
        <f ca="1">IFERROR(__xludf.DUMMYFUNCTION("""COMPUTED_VALUE"""),"")</f>
        <v/>
      </c>
      <c r="E426" s="29" t="str">
        <f ca="1">IFERROR(__xludf.DUMMYFUNCTION("""COMPUTED_VALUE"""),"")</f>
        <v/>
      </c>
      <c r="F426" s="30" t="str">
        <f ca="1">IFERROR(__xludf.DUMMYFUNCTION("""COMPUTED_VALUE"""),"")</f>
        <v/>
      </c>
      <c r="G426" s="29" t="str">
        <f ca="1">IFERROR(__xludf.DUMMYFUNCTION("""COMPUTED_VALUE"""),"")</f>
        <v/>
      </c>
      <c r="H426" s="30" t="str">
        <f ca="1">IFERROR(__xludf.DUMMYFUNCTION("""COMPUTED_VALUE"""),"")</f>
        <v/>
      </c>
      <c r="I426" s="29" t="str">
        <f ca="1">IFERROR(__xludf.DUMMYFUNCTION("""COMPUTED_VALUE"""),"")</f>
        <v/>
      </c>
      <c r="J426" s="29" t="str">
        <f ca="1">IFERROR(__xludf.DUMMYFUNCTION("""COMPUTED_VALUE"""),"")</f>
        <v/>
      </c>
      <c r="K426" s="29" t="str">
        <f ca="1">IFERROR(__xludf.DUMMYFUNCTION("""COMPUTED_VALUE"""),"")</f>
        <v/>
      </c>
      <c r="L426" s="29" t="str">
        <f ca="1">IFERROR(__xludf.DUMMYFUNCTION("""COMPUTED_VALUE"""),"")</f>
        <v/>
      </c>
      <c r="M426" s="29" t="str">
        <f ca="1">IFERROR(__xludf.DUMMYFUNCTION("""COMPUTED_VALUE"""),"")</f>
        <v/>
      </c>
      <c r="N426" s="29" t="str">
        <f ca="1">IFERROR(__xludf.DUMMYFUNCTION("""COMPUTED_VALUE"""),"")</f>
        <v/>
      </c>
    </row>
    <row r="427" spans="2:14" ht="12.5">
      <c r="B427" s="2"/>
      <c r="C427" s="2" t="str">
        <f ca="1">IFERROR(__xludf.DUMMYFUNCTION("""COMPUTED_VALUE"""),"")</f>
        <v/>
      </c>
      <c r="D427" s="2" t="str">
        <f ca="1">IFERROR(__xludf.DUMMYFUNCTION("""COMPUTED_VALUE"""),"")</f>
        <v/>
      </c>
      <c r="E427" s="29" t="str">
        <f ca="1">IFERROR(__xludf.DUMMYFUNCTION("""COMPUTED_VALUE"""),"")</f>
        <v/>
      </c>
      <c r="F427" s="30" t="str">
        <f ca="1">IFERROR(__xludf.DUMMYFUNCTION("""COMPUTED_VALUE"""),"")</f>
        <v/>
      </c>
      <c r="G427" s="29" t="str">
        <f ca="1">IFERROR(__xludf.DUMMYFUNCTION("""COMPUTED_VALUE"""),"")</f>
        <v/>
      </c>
      <c r="H427" s="30" t="str">
        <f ca="1">IFERROR(__xludf.DUMMYFUNCTION("""COMPUTED_VALUE"""),"")</f>
        <v/>
      </c>
      <c r="I427" s="29" t="str">
        <f ca="1">IFERROR(__xludf.DUMMYFUNCTION("""COMPUTED_VALUE"""),"")</f>
        <v/>
      </c>
      <c r="J427" s="29" t="str">
        <f ca="1">IFERROR(__xludf.DUMMYFUNCTION("""COMPUTED_VALUE"""),"")</f>
        <v/>
      </c>
      <c r="K427" s="29" t="str">
        <f ca="1">IFERROR(__xludf.DUMMYFUNCTION("""COMPUTED_VALUE"""),"")</f>
        <v/>
      </c>
      <c r="L427" s="29" t="str">
        <f ca="1">IFERROR(__xludf.DUMMYFUNCTION("""COMPUTED_VALUE"""),"")</f>
        <v/>
      </c>
      <c r="M427" s="29" t="str">
        <f ca="1">IFERROR(__xludf.DUMMYFUNCTION("""COMPUTED_VALUE"""),"")</f>
        <v/>
      </c>
      <c r="N427" s="29" t="str">
        <f ca="1">IFERROR(__xludf.DUMMYFUNCTION("""COMPUTED_VALUE"""),"")</f>
        <v/>
      </c>
    </row>
    <row r="428" spans="2:14" ht="12.5">
      <c r="B428" s="2"/>
      <c r="C428" s="2" t="str">
        <f ca="1">IFERROR(__xludf.DUMMYFUNCTION("""COMPUTED_VALUE"""),"")</f>
        <v/>
      </c>
      <c r="D428" s="2" t="str">
        <f ca="1">IFERROR(__xludf.DUMMYFUNCTION("""COMPUTED_VALUE"""),"")</f>
        <v/>
      </c>
      <c r="E428" s="29" t="str">
        <f ca="1">IFERROR(__xludf.DUMMYFUNCTION("""COMPUTED_VALUE"""),"")</f>
        <v/>
      </c>
      <c r="F428" s="30" t="str">
        <f ca="1">IFERROR(__xludf.DUMMYFUNCTION("""COMPUTED_VALUE"""),"")</f>
        <v/>
      </c>
      <c r="G428" s="29" t="str">
        <f ca="1">IFERROR(__xludf.DUMMYFUNCTION("""COMPUTED_VALUE"""),"")</f>
        <v/>
      </c>
      <c r="H428" s="30" t="str">
        <f ca="1">IFERROR(__xludf.DUMMYFUNCTION("""COMPUTED_VALUE"""),"")</f>
        <v/>
      </c>
      <c r="I428" s="29" t="str">
        <f ca="1">IFERROR(__xludf.DUMMYFUNCTION("""COMPUTED_VALUE"""),"")</f>
        <v/>
      </c>
      <c r="J428" s="29" t="str">
        <f ca="1">IFERROR(__xludf.DUMMYFUNCTION("""COMPUTED_VALUE"""),"")</f>
        <v/>
      </c>
      <c r="K428" s="29" t="str">
        <f ca="1">IFERROR(__xludf.DUMMYFUNCTION("""COMPUTED_VALUE"""),"")</f>
        <v/>
      </c>
      <c r="L428" s="29" t="str">
        <f ca="1">IFERROR(__xludf.DUMMYFUNCTION("""COMPUTED_VALUE"""),"")</f>
        <v/>
      </c>
      <c r="M428" s="29" t="str">
        <f ca="1">IFERROR(__xludf.DUMMYFUNCTION("""COMPUTED_VALUE"""),"")</f>
        <v/>
      </c>
      <c r="N428" s="29" t="str">
        <f ca="1">IFERROR(__xludf.DUMMYFUNCTION("""COMPUTED_VALUE"""),"")</f>
        <v/>
      </c>
    </row>
    <row r="429" spans="2:14" ht="12.5">
      <c r="B429" s="2"/>
      <c r="C429" s="2" t="str">
        <f ca="1">IFERROR(__xludf.DUMMYFUNCTION("""COMPUTED_VALUE"""),"")</f>
        <v/>
      </c>
      <c r="D429" s="2" t="str">
        <f ca="1">IFERROR(__xludf.DUMMYFUNCTION("""COMPUTED_VALUE"""),"")</f>
        <v/>
      </c>
      <c r="E429" s="29" t="str">
        <f ca="1">IFERROR(__xludf.DUMMYFUNCTION("""COMPUTED_VALUE"""),"")</f>
        <v/>
      </c>
      <c r="F429" s="30" t="str">
        <f ca="1">IFERROR(__xludf.DUMMYFUNCTION("""COMPUTED_VALUE"""),"")</f>
        <v/>
      </c>
      <c r="G429" s="29" t="str">
        <f ca="1">IFERROR(__xludf.DUMMYFUNCTION("""COMPUTED_VALUE"""),"")</f>
        <v/>
      </c>
      <c r="H429" s="30" t="str">
        <f ca="1">IFERROR(__xludf.DUMMYFUNCTION("""COMPUTED_VALUE"""),"")</f>
        <v/>
      </c>
      <c r="I429" s="29" t="str">
        <f ca="1">IFERROR(__xludf.DUMMYFUNCTION("""COMPUTED_VALUE"""),"")</f>
        <v/>
      </c>
      <c r="J429" s="29" t="str">
        <f ca="1">IFERROR(__xludf.DUMMYFUNCTION("""COMPUTED_VALUE"""),"")</f>
        <v/>
      </c>
      <c r="K429" s="29" t="str">
        <f ca="1">IFERROR(__xludf.DUMMYFUNCTION("""COMPUTED_VALUE"""),"")</f>
        <v/>
      </c>
      <c r="L429" s="29" t="str">
        <f ca="1">IFERROR(__xludf.DUMMYFUNCTION("""COMPUTED_VALUE"""),"")</f>
        <v/>
      </c>
      <c r="M429" s="29" t="str">
        <f ca="1">IFERROR(__xludf.DUMMYFUNCTION("""COMPUTED_VALUE"""),"")</f>
        <v/>
      </c>
      <c r="N429" s="29" t="str">
        <f ca="1">IFERROR(__xludf.DUMMYFUNCTION("""COMPUTED_VALUE"""),"")</f>
        <v/>
      </c>
    </row>
    <row r="430" spans="2:14" ht="12.5">
      <c r="B430" s="2"/>
      <c r="C430" s="2" t="str">
        <f ca="1">IFERROR(__xludf.DUMMYFUNCTION("""COMPUTED_VALUE"""),"")</f>
        <v/>
      </c>
      <c r="D430" s="2" t="str">
        <f ca="1">IFERROR(__xludf.DUMMYFUNCTION("""COMPUTED_VALUE"""),"")</f>
        <v/>
      </c>
      <c r="E430" s="29" t="str">
        <f ca="1">IFERROR(__xludf.DUMMYFUNCTION("""COMPUTED_VALUE"""),"")</f>
        <v/>
      </c>
      <c r="F430" s="30" t="str">
        <f ca="1">IFERROR(__xludf.DUMMYFUNCTION("""COMPUTED_VALUE"""),"")</f>
        <v/>
      </c>
      <c r="G430" s="29" t="str">
        <f ca="1">IFERROR(__xludf.DUMMYFUNCTION("""COMPUTED_VALUE"""),"")</f>
        <v/>
      </c>
      <c r="H430" s="30" t="str">
        <f ca="1">IFERROR(__xludf.DUMMYFUNCTION("""COMPUTED_VALUE"""),"")</f>
        <v/>
      </c>
      <c r="I430" s="29" t="str">
        <f ca="1">IFERROR(__xludf.DUMMYFUNCTION("""COMPUTED_VALUE"""),"")</f>
        <v/>
      </c>
      <c r="J430" s="29" t="str">
        <f ca="1">IFERROR(__xludf.DUMMYFUNCTION("""COMPUTED_VALUE"""),"")</f>
        <v/>
      </c>
      <c r="K430" s="29" t="str">
        <f ca="1">IFERROR(__xludf.DUMMYFUNCTION("""COMPUTED_VALUE"""),"")</f>
        <v/>
      </c>
      <c r="L430" s="29" t="str">
        <f ca="1">IFERROR(__xludf.DUMMYFUNCTION("""COMPUTED_VALUE"""),"")</f>
        <v/>
      </c>
      <c r="M430" s="29" t="str">
        <f ca="1">IFERROR(__xludf.DUMMYFUNCTION("""COMPUTED_VALUE"""),"")</f>
        <v/>
      </c>
      <c r="N430" s="29" t="str">
        <f ca="1">IFERROR(__xludf.DUMMYFUNCTION("""COMPUTED_VALUE"""),"")</f>
        <v/>
      </c>
    </row>
    <row r="431" spans="2:14" ht="12.5">
      <c r="B431" s="2"/>
      <c r="C431" s="2" t="str">
        <f ca="1">IFERROR(__xludf.DUMMYFUNCTION("""COMPUTED_VALUE"""),"")</f>
        <v/>
      </c>
      <c r="D431" s="2" t="str">
        <f ca="1">IFERROR(__xludf.DUMMYFUNCTION("""COMPUTED_VALUE"""),"")</f>
        <v/>
      </c>
      <c r="E431" s="29" t="str">
        <f ca="1">IFERROR(__xludf.DUMMYFUNCTION("""COMPUTED_VALUE"""),"")</f>
        <v/>
      </c>
      <c r="F431" s="30" t="str">
        <f ca="1">IFERROR(__xludf.DUMMYFUNCTION("""COMPUTED_VALUE"""),"")</f>
        <v/>
      </c>
      <c r="G431" s="29" t="str">
        <f ca="1">IFERROR(__xludf.DUMMYFUNCTION("""COMPUTED_VALUE"""),"")</f>
        <v/>
      </c>
      <c r="H431" s="30" t="str">
        <f ca="1">IFERROR(__xludf.DUMMYFUNCTION("""COMPUTED_VALUE"""),"")</f>
        <v/>
      </c>
      <c r="I431" s="29" t="str">
        <f ca="1">IFERROR(__xludf.DUMMYFUNCTION("""COMPUTED_VALUE"""),"")</f>
        <v/>
      </c>
      <c r="J431" s="29" t="str">
        <f ca="1">IFERROR(__xludf.DUMMYFUNCTION("""COMPUTED_VALUE"""),"")</f>
        <v/>
      </c>
      <c r="K431" s="29" t="str">
        <f ca="1">IFERROR(__xludf.DUMMYFUNCTION("""COMPUTED_VALUE"""),"")</f>
        <v/>
      </c>
      <c r="L431" s="29" t="str">
        <f ca="1">IFERROR(__xludf.DUMMYFUNCTION("""COMPUTED_VALUE"""),"")</f>
        <v/>
      </c>
      <c r="M431" s="29" t="str">
        <f ca="1">IFERROR(__xludf.DUMMYFUNCTION("""COMPUTED_VALUE"""),"")</f>
        <v/>
      </c>
      <c r="N431" s="29" t="str">
        <f ca="1">IFERROR(__xludf.DUMMYFUNCTION("""COMPUTED_VALUE"""),"")</f>
        <v/>
      </c>
    </row>
    <row r="432" spans="2:14" ht="12.5">
      <c r="B432" s="2"/>
      <c r="C432" s="2" t="str">
        <f ca="1">IFERROR(__xludf.DUMMYFUNCTION("""COMPUTED_VALUE"""),"")</f>
        <v/>
      </c>
      <c r="D432" s="2" t="str">
        <f ca="1">IFERROR(__xludf.DUMMYFUNCTION("""COMPUTED_VALUE"""),"")</f>
        <v/>
      </c>
      <c r="E432" s="29" t="str">
        <f ca="1">IFERROR(__xludf.DUMMYFUNCTION("""COMPUTED_VALUE"""),"")</f>
        <v/>
      </c>
      <c r="F432" s="30" t="str">
        <f ca="1">IFERROR(__xludf.DUMMYFUNCTION("""COMPUTED_VALUE"""),"")</f>
        <v/>
      </c>
      <c r="G432" s="29" t="str">
        <f ca="1">IFERROR(__xludf.DUMMYFUNCTION("""COMPUTED_VALUE"""),"")</f>
        <v/>
      </c>
      <c r="H432" s="30" t="str">
        <f ca="1">IFERROR(__xludf.DUMMYFUNCTION("""COMPUTED_VALUE"""),"")</f>
        <v/>
      </c>
      <c r="I432" s="29" t="str">
        <f ca="1">IFERROR(__xludf.DUMMYFUNCTION("""COMPUTED_VALUE"""),"")</f>
        <v/>
      </c>
      <c r="J432" s="29" t="str">
        <f ca="1">IFERROR(__xludf.DUMMYFUNCTION("""COMPUTED_VALUE"""),"")</f>
        <v/>
      </c>
      <c r="K432" s="29" t="str">
        <f ca="1">IFERROR(__xludf.DUMMYFUNCTION("""COMPUTED_VALUE"""),"")</f>
        <v/>
      </c>
      <c r="L432" s="29" t="str">
        <f ca="1">IFERROR(__xludf.DUMMYFUNCTION("""COMPUTED_VALUE"""),"")</f>
        <v/>
      </c>
      <c r="M432" s="29" t="str">
        <f ca="1">IFERROR(__xludf.DUMMYFUNCTION("""COMPUTED_VALUE"""),"")</f>
        <v/>
      </c>
      <c r="N432" s="29" t="str">
        <f ca="1">IFERROR(__xludf.DUMMYFUNCTION("""COMPUTED_VALUE"""),"")</f>
        <v/>
      </c>
    </row>
    <row r="433" spans="2:14" ht="12.5">
      <c r="B433" s="2"/>
      <c r="C433" s="2" t="str">
        <f ca="1">IFERROR(__xludf.DUMMYFUNCTION("""COMPUTED_VALUE"""),"")</f>
        <v/>
      </c>
      <c r="D433" s="2" t="str">
        <f ca="1">IFERROR(__xludf.DUMMYFUNCTION("""COMPUTED_VALUE"""),"")</f>
        <v/>
      </c>
      <c r="E433" s="29" t="str">
        <f ca="1">IFERROR(__xludf.DUMMYFUNCTION("""COMPUTED_VALUE"""),"")</f>
        <v/>
      </c>
      <c r="F433" s="30" t="str">
        <f ca="1">IFERROR(__xludf.DUMMYFUNCTION("""COMPUTED_VALUE"""),"")</f>
        <v/>
      </c>
      <c r="G433" s="29" t="str">
        <f ca="1">IFERROR(__xludf.DUMMYFUNCTION("""COMPUTED_VALUE"""),"")</f>
        <v/>
      </c>
      <c r="H433" s="30" t="str">
        <f ca="1">IFERROR(__xludf.DUMMYFUNCTION("""COMPUTED_VALUE"""),"")</f>
        <v/>
      </c>
      <c r="I433" s="29" t="str">
        <f ca="1">IFERROR(__xludf.DUMMYFUNCTION("""COMPUTED_VALUE"""),"")</f>
        <v/>
      </c>
      <c r="J433" s="29" t="str">
        <f ca="1">IFERROR(__xludf.DUMMYFUNCTION("""COMPUTED_VALUE"""),"")</f>
        <v/>
      </c>
      <c r="K433" s="29" t="str">
        <f ca="1">IFERROR(__xludf.DUMMYFUNCTION("""COMPUTED_VALUE"""),"")</f>
        <v/>
      </c>
      <c r="L433" s="29" t="str">
        <f ca="1">IFERROR(__xludf.DUMMYFUNCTION("""COMPUTED_VALUE"""),"")</f>
        <v/>
      </c>
      <c r="M433" s="29" t="str">
        <f ca="1">IFERROR(__xludf.DUMMYFUNCTION("""COMPUTED_VALUE"""),"")</f>
        <v/>
      </c>
      <c r="N433" s="29" t="str">
        <f ca="1">IFERROR(__xludf.DUMMYFUNCTION("""COMPUTED_VALUE"""),"")</f>
        <v/>
      </c>
    </row>
    <row r="434" spans="2:14" ht="12.5">
      <c r="B434" s="2"/>
      <c r="C434" s="2" t="str">
        <f ca="1">IFERROR(__xludf.DUMMYFUNCTION("""COMPUTED_VALUE"""),"")</f>
        <v/>
      </c>
      <c r="D434" s="2" t="str">
        <f ca="1">IFERROR(__xludf.DUMMYFUNCTION("""COMPUTED_VALUE"""),"")</f>
        <v/>
      </c>
      <c r="E434" s="29" t="str">
        <f ca="1">IFERROR(__xludf.DUMMYFUNCTION("""COMPUTED_VALUE"""),"")</f>
        <v/>
      </c>
      <c r="F434" s="30" t="str">
        <f ca="1">IFERROR(__xludf.DUMMYFUNCTION("""COMPUTED_VALUE"""),"")</f>
        <v/>
      </c>
      <c r="G434" s="29" t="str">
        <f ca="1">IFERROR(__xludf.DUMMYFUNCTION("""COMPUTED_VALUE"""),"")</f>
        <v/>
      </c>
      <c r="H434" s="30" t="str">
        <f ca="1">IFERROR(__xludf.DUMMYFUNCTION("""COMPUTED_VALUE"""),"")</f>
        <v/>
      </c>
      <c r="I434" s="29" t="str">
        <f ca="1">IFERROR(__xludf.DUMMYFUNCTION("""COMPUTED_VALUE"""),"")</f>
        <v/>
      </c>
      <c r="J434" s="29" t="str">
        <f ca="1">IFERROR(__xludf.DUMMYFUNCTION("""COMPUTED_VALUE"""),"")</f>
        <v/>
      </c>
      <c r="K434" s="29" t="str">
        <f ca="1">IFERROR(__xludf.DUMMYFUNCTION("""COMPUTED_VALUE"""),"")</f>
        <v/>
      </c>
      <c r="L434" s="29" t="str">
        <f ca="1">IFERROR(__xludf.DUMMYFUNCTION("""COMPUTED_VALUE"""),"")</f>
        <v/>
      </c>
      <c r="M434" s="29" t="str">
        <f ca="1">IFERROR(__xludf.DUMMYFUNCTION("""COMPUTED_VALUE"""),"")</f>
        <v/>
      </c>
      <c r="N434" s="29" t="str">
        <f ca="1">IFERROR(__xludf.DUMMYFUNCTION("""COMPUTED_VALUE"""),"")</f>
        <v/>
      </c>
    </row>
    <row r="435" spans="2:14" ht="12.5">
      <c r="B435" s="2"/>
      <c r="C435" s="2" t="str">
        <f ca="1">IFERROR(__xludf.DUMMYFUNCTION("""COMPUTED_VALUE"""),"")</f>
        <v/>
      </c>
      <c r="D435" s="2" t="str">
        <f ca="1">IFERROR(__xludf.DUMMYFUNCTION("""COMPUTED_VALUE"""),"")</f>
        <v/>
      </c>
      <c r="E435" s="29" t="str">
        <f ca="1">IFERROR(__xludf.DUMMYFUNCTION("""COMPUTED_VALUE"""),"")</f>
        <v/>
      </c>
      <c r="F435" s="30" t="str">
        <f ca="1">IFERROR(__xludf.DUMMYFUNCTION("""COMPUTED_VALUE"""),"")</f>
        <v/>
      </c>
      <c r="G435" s="29" t="str">
        <f ca="1">IFERROR(__xludf.DUMMYFUNCTION("""COMPUTED_VALUE"""),"")</f>
        <v/>
      </c>
      <c r="H435" s="30" t="str">
        <f ca="1">IFERROR(__xludf.DUMMYFUNCTION("""COMPUTED_VALUE"""),"")</f>
        <v/>
      </c>
      <c r="I435" s="29" t="str">
        <f ca="1">IFERROR(__xludf.DUMMYFUNCTION("""COMPUTED_VALUE"""),"")</f>
        <v/>
      </c>
      <c r="J435" s="29" t="str">
        <f ca="1">IFERROR(__xludf.DUMMYFUNCTION("""COMPUTED_VALUE"""),"")</f>
        <v/>
      </c>
      <c r="K435" s="29" t="str">
        <f ca="1">IFERROR(__xludf.DUMMYFUNCTION("""COMPUTED_VALUE"""),"")</f>
        <v/>
      </c>
      <c r="L435" s="29" t="str">
        <f ca="1">IFERROR(__xludf.DUMMYFUNCTION("""COMPUTED_VALUE"""),"")</f>
        <v/>
      </c>
      <c r="M435" s="29" t="str">
        <f ca="1">IFERROR(__xludf.DUMMYFUNCTION("""COMPUTED_VALUE"""),"")</f>
        <v/>
      </c>
      <c r="N435" s="29" t="str">
        <f ca="1">IFERROR(__xludf.DUMMYFUNCTION("""COMPUTED_VALUE"""),"")</f>
        <v/>
      </c>
    </row>
    <row r="436" spans="2:14" ht="12.5">
      <c r="B436" s="2"/>
      <c r="C436" s="2" t="str">
        <f ca="1">IFERROR(__xludf.DUMMYFUNCTION("""COMPUTED_VALUE"""),"")</f>
        <v/>
      </c>
      <c r="D436" s="2" t="str">
        <f ca="1">IFERROR(__xludf.DUMMYFUNCTION("""COMPUTED_VALUE"""),"")</f>
        <v/>
      </c>
      <c r="E436" s="29" t="str">
        <f ca="1">IFERROR(__xludf.DUMMYFUNCTION("""COMPUTED_VALUE"""),"")</f>
        <v/>
      </c>
      <c r="F436" s="30" t="str">
        <f ca="1">IFERROR(__xludf.DUMMYFUNCTION("""COMPUTED_VALUE"""),"")</f>
        <v/>
      </c>
      <c r="G436" s="29" t="str">
        <f ca="1">IFERROR(__xludf.DUMMYFUNCTION("""COMPUTED_VALUE"""),"")</f>
        <v/>
      </c>
      <c r="H436" s="30" t="str">
        <f ca="1">IFERROR(__xludf.DUMMYFUNCTION("""COMPUTED_VALUE"""),"")</f>
        <v/>
      </c>
      <c r="I436" s="29" t="str">
        <f ca="1">IFERROR(__xludf.DUMMYFUNCTION("""COMPUTED_VALUE"""),"")</f>
        <v/>
      </c>
      <c r="J436" s="29" t="str">
        <f ca="1">IFERROR(__xludf.DUMMYFUNCTION("""COMPUTED_VALUE"""),"")</f>
        <v/>
      </c>
      <c r="K436" s="29" t="str">
        <f ca="1">IFERROR(__xludf.DUMMYFUNCTION("""COMPUTED_VALUE"""),"")</f>
        <v/>
      </c>
      <c r="L436" s="29" t="str">
        <f ca="1">IFERROR(__xludf.DUMMYFUNCTION("""COMPUTED_VALUE"""),"")</f>
        <v/>
      </c>
      <c r="M436" s="29" t="str">
        <f ca="1">IFERROR(__xludf.DUMMYFUNCTION("""COMPUTED_VALUE"""),"")</f>
        <v/>
      </c>
      <c r="N436" s="29" t="str">
        <f ca="1">IFERROR(__xludf.DUMMYFUNCTION("""COMPUTED_VALUE"""),"")</f>
        <v/>
      </c>
    </row>
    <row r="437" spans="2:14" ht="12.5">
      <c r="B437" s="2"/>
      <c r="C437" s="2" t="str">
        <f ca="1">IFERROR(__xludf.DUMMYFUNCTION("""COMPUTED_VALUE"""),"")</f>
        <v/>
      </c>
      <c r="D437" s="2" t="str">
        <f ca="1">IFERROR(__xludf.DUMMYFUNCTION("""COMPUTED_VALUE"""),"")</f>
        <v/>
      </c>
      <c r="E437" s="29" t="str">
        <f ca="1">IFERROR(__xludf.DUMMYFUNCTION("""COMPUTED_VALUE"""),"")</f>
        <v/>
      </c>
      <c r="F437" s="30" t="str">
        <f ca="1">IFERROR(__xludf.DUMMYFUNCTION("""COMPUTED_VALUE"""),"")</f>
        <v/>
      </c>
      <c r="G437" s="29" t="str">
        <f ca="1">IFERROR(__xludf.DUMMYFUNCTION("""COMPUTED_VALUE"""),"")</f>
        <v/>
      </c>
      <c r="H437" s="30" t="str">
        <f ca="1">IFERROR(__xludf.DUMMYFUNCTION("""COMPUTED_VALUE"""),"")</f>
        <v/>
      </c>
      <c r="I437" s="29" t="str">
        <f ca="1">IFERROR(__xludf.DUMMYFUNCTION("""COMPUTED_VALUE"""),"")</f>
        <v/>
      </c>
      <c r="J437" s="29" t="str">
        <f ca="1">IFERROR(__xludf.DUMMYFUNCTION("""COMPUTED_VALUE"""),"")</f>
        <v/>
      </c>
      <c r="K437" s="29" t="str">
        <f ca="1">IFERROR(__xludf.DUMMYFUNCTION("""COMPUTED_VALUE"""),"")</f>
        <v/>
      </c>
      <c r="L437" s="29" t="str">
        <f ca="1">IFERROR(__xludf.DUMMYFUNCTION("""COMPUTED_VALUE"""),"")</f>
        <v/>
      </c>
      <c r="M437" s="29" t="str">
        <f ca="1">IFERROR(__xludf.DUMMYFUNCTION("""COMPUTED_VALUE"""),"")</f>
        <v/>
      </c>
      <c r="N437" s="29" t="str">
        <f ca="1">IFERROR(__xludf.DUMMYFUNCTION("""COMPUTED_VALUE"""),"")</f>
        <v/>
      </c>
    </row>
    <row r="438" spans="2:14" ht="12.5">
      <c r="B438" s="2"/>
      <c r="C438" s="2" t="str">
        <f ca="1">IFERROR(__xludf.DUMMYFUNCTION("""COMPUTED_VALUE"""),"")</f>
        <v/>
      </c>
      <c r="D438" s="2" t="str">
        <f ca="1">IFERROR(__xludf.DUMMYFUNCTION("""COMPUTED_VALUE"""),"")</f>
        <v/>
      </c>
      <c r="E438" s="29" t="str">
        <f ca="1">IFERROR(__xludf.DUMMYFUNCTION("""COMPUTED_VALUE"""),"")</f>
        <v/>
      </c>
      <c r="F438" s="30" t="str">
        <f ca="1">IFERROR(__xludf.DUMMYFUNCTION("""COMPUTED_VALUE"""),"")</f>
        <v/>
      </c>
      <c r="G438" s="29" t="str">
        <f ca="1">IFERROR(__xludf.DUMMYFUNCTION("""COMPUTED_VALUE"""),"")</f>
        <v/>
      </c>
      <c r="H438" s="30" t="str">
        <f ca="1">IFERROR(__xludf.DUMMYFUNCTION("""COMPUTED_VALUE"""),"")</f>
        <v/>
      </c>
      <c r="I438" s="29" t="str">
        <f ca="1">IFERROR(__xludf.DUMMYFUNCTION("""COMPUTED_VALUE"""),"")</f>
        <v/>
      </c>
      <c r="J438" s="29" t="str">
        <f ca="1">IFERROR(__xludf.DUMMYFUNCTION("""COMPUTED_VALUE"""),"")</f>
        <v/>
      </c>
      <c r="K438" s="29" t="str">
        <f ca="1">IFERROR(__xludf.DUMMYFUNCTION("""COMPUTED_VALUE"""),"")</f>
        <v/>
      </c>
      <c r="L438" s="29" t="str">
        <f ca="1">IFERROR(__xludf.DUMMYFUNCTION("""COMPUTED_VALUE"""),"")</f>
        <v/>
      </c>
      <c r="M438" s="29" t="str">
        <f ca="1">IFERROR(__xludf.DUMMYFUNCTION("""COMPUTED_VALUE"""),"")</f>
        <v/>
      </c>
      <c r="N438" s="29" t="str">
        <f ca="1">IFERROR(__xludf.DUMMYFUNCTION("""COMPUTED_VALUE"""),"")</f>
        <v/>
      </c>
    </row>
    <row r="439" spans="2:14" ht="12.5">
      <c r="B439" s="2"/>
      <c r="C439" s="2" t="str">
        <f ca="1">IFERROR(__xludf.DUMMYFUNCTION("""COMPUTED_VALUE"""),"")</f>
        <v/>
      </c>
      <c r="D439" s="2" t="str">
        <f ca="1">IFERROR(__xludf.DUMMYFUNCTION("""COMPUTED_VALUE"""),"")</f>
        <v/>
      </c>
      <c r="E439" s="29" t="str">
        <f ca="1">IFERROR(__xludf.DUMMYFUNCTION("""COMPUTED_VALUE"""),"")</f>
        <v/>
      </c>
      <c r="F439" s="30" t="str">
        <f ca="1">IFERROR(__xludf.DUMMYFUNCTION("""COMPUTED_VALUE"""),"")</f>
        <v/>
      </c>
      <c r="G439" s="29" t="str">
        <f ca="1">IFERROR(__xludf.DUMMYFUNCTION("""COMPUTED_VALUE"""),"")</f>
        <v/>
      </c>
      <c r="H439" s="30" t="str">
        <f ca="1">IFERROR(__xludf.DUMMYFUNCTION("""COMPUTED_VALUE"""),"")</f>
        <v/>
      </c>
      <c r="I439" s="29" t="str">
        <f ca="1">IFERROR(__xludf.DUMMYFUNCTION("""COMPUTED_VALUE"""),"")</f>
        <v/>
      </c>
      <c r="J439" s="29" t="str">
        <f ca="1">IFERROR(__xludf.DUMMYFUNCTION("""COMPUTED_VALUE"""),"")</f>
        <v/>
      </c>
      <c r="K439" s="29" t="str">
        <f ca="1">IFERROR(__xludf.DUMMYFUNCTION("""COMPUTED_VALUE"""),"")</f>
        <v/>
      </c>
      <c r="L439" s="29" t="str">
        <f ca="1">IFERROR(__xludf.DUMMYFUNCTION("""COMPUTED_VALUE"""),"")</f>
        <v/>
      </c>
      <c r="M439" s="29" t="str">
        <f ca="1">IFERROR(__xludf.DUMMYFUNCTION("""COMPUTED_VALUE"""),"")</f>
        <v/>
      </c>
      <c r="N439" s="29" t="str">
        <f ca="1">IFERROR(__xludf.DUMMYFUNCTION("""COMPUTED_VALUE"""),"")</f>
        <v/>
      </c>
    </row>
    <row r="440" spans="2:14" ht="12.5">
      <c r="B440" s="2"/>
      <c r="C440" s="2" t="str">
        <f ca="1">IFERROR(__xludf.DUMMYFUNCTION("""COMPUTED_VALUE"""),"")</f>
        <v/>
      </c>
      <c r="D440" s="2" t="str">
        <f ca="1">IFERROR(__xludf.DUMMYFUNCTION("""COMPUTED_VALUE"""),"")</f>
        <v/>
      </c>
      <c r="E440" s="29" t="str">
        <f ca="1">IFERROR(__xludf.DUMMYFUNCTION("""COMPUTED_VALUE"""),"")</f>
        <v/>
      </c>
      <c r="F440" s="30" t="str">
        <f ca="1">IFERROR(__xludf.DUMMYFUNCTION("""COMPUTED_VALUE"""),"")</f>
        <v/>
      </c>
      <c r="G440" s="29" t="str">
        <f ca="1">IFERROR(__xludf.DUMMYFUNCTION("""COMPUTED_VALUE"""),"")</f>
        <v/>
      </c>
      <c r="H440" s="30" t="str">
        <f ca="1">IFERROR(__xludf.DUMMYFUNCTION("""COMPUTED_VALUE"""),"")</f>
        <v/>
      </c>
      <c r="I440" s="29" t="str">
        <f ca="1">IFERROR(__xludf.DUMMYFUNCTION("""COMPUTED_VALUE"""),"")</f>
        <v/>
      </c>
      <c r="J440" s="29" t="str">
        <f ca="1">IFERROR(__xludf.DUMMYFUNCTION("""COMPUTED_VALUE"""),"")</f>
        <v/>
      </c>
      <c r="K440" s="29" t="str">
        <f ca="1">IFERROR(__xludf.DUMMYFUNCTION("""COMPUTED_VALUE"""),"")</f>
        <v/>
      </c>
      <c r="L440" s="29" t="str">
        <f ca="1">IFERROR(__xludf.DUMMYFUNCTION("""COMPUTED_VALUE"""),"")</f>
        <v/>
      </c>
      <c r="M440" s="29" t="str">
        <f ca="1">IFERROR(__xludf.DUMMYFUNCTION("""COMPUTED_VALUE"""),"")</f>
        <v/>
      </c>
      <c r="N440" s="29" t="str">
        <f ca="1">IFERROR(__xludf.DUMMYFUNCTION("""COMPUTED_VALUE"""),"")</f>
        <v/>
      </c>
    </row>
    <row r="441" spans="2:14" ht="12.5">
      <c r="B441" s="2"/>
      <c r="C441" s="2" t="str">
        <f ca="1">IFERROR(__xludf.DUMMYFUNCTION("""COMPUTED_VALUE"""),"")</f>
        <v/>
      </c>
      <c r="D441" s="2" t="str">
        <f ca="1">IFERROR(__xludf.DUMMYFUNCTION("""COMPUTED_VALUE"""),"")</f>
        <v/>
      </c>
      <c r="E441" s="29" t="str">
        <f ca="1">IFERROR(__xludf.DUMMYFUNCTION("""COMPUTED_VALUE"""),"")</f>
        <v/>
      </c>
      <c r="F441" s="30" t="str">
        <f ca="1">IFERROR(__xludf.DUMMYFUNCTION("""COMPUTED_VALUE"""),"")</f>
        <v/>
      </c>
      <c r="G441" s="29" t="str">
        <f ca="1">IFERROR(__xludf.DUMMYFUNCTION("""COMPUTED_VALUE"""),"")</f>
        <v/>
      </c>
      <c r="H441" s="30" t="str">
        <f ca="1">IFERROR(__xludf.DUMMYFUNCTION("""COMPUTED_VALUE"""),"")</f>
        <v/>
      </c>
      <c r="I441" s="29" t="str">
        <f ca="1">IFERROR(__xludf.DUMMYFUNCTION("""COMPUTED_VALUE"""),"")</f>
        <v/>
      </c>
      <c r="J441" s="29" t="str">
        <f ca="1">IFERROR(__xludf.DUMMYFUNCTION("""COMPUTED_VALUE"""),"")</f>
        <v/>
      </c>
      <c r="K441" s="29" t="str">
        <f ca="1">IFERROR(__xludf.DUMMYFUNCTION("""COMPUTED_VALUE"""),"")</f>
        <v/>
      </c>
      <c r="L441" s="29" t="str">
        <f ca="1">IFERROR(__xludf.DUMMYFUNCTION("""COMPUTED_VALUE"""),"")</f>
        <v/>
      </c>
      <c r="M441" s="29" t="str">
        <f ca="1">IFERROR(__xludf.DUMMYFUNCTION("""COMPUTED_VALUE"""),"")</f>
        <v/>
      </c>
      <c r="N441" s="29" t="str">
        <f ca="1">IFERROR(__xludf.DUMMYFUNCTION("""COMPUTED_VALUE"""),"")</f>
        <v/>
      </c>
    </row>
    <row r="442" spans="2:14" ht="12.5">
      <c r="B442" s="2"/>
      <c r="C442" s="2" t="str">
        <f ca="1">IFERROR(__xludf.DUMMYFUNCTION("""COMPUTED_VALUE"""),"")</f>
        <v/>
      </c>
      <c r="D442" s="2" t="str">
        <f ca="1">IFERROR(__xludf.DUMMYFUNCTION("""COMPUTED_VALUE"""),"")</f>
        <v/>
      </c>
      <c r="E442" s="29" t="str">
        <f ca="1">IFERROR(__xludf.DUMMYFUNCTION("""COMPUTED_VALUE"""),"")</f>
        <v/>
      </c>
      <c r="F442" s="30" t="str">
        <f ca="1">IFERROR(__xludf.DUMMYFUNCTION("""COMPUTED_VALUE"""),"")</f>
        <v/>
      </c>
      <c r="G442" s="29" t="str">
        <f ca="1">IFERROR(__xludf.DUMMYFUNCTION("""COMPUTED_VALUE"""),"")</f>
        <v/>
      </c>
      <c r="H442" s="30" t="str">
        <f ca="1">IFERROR(__xludf.DUMMYFUNCTION("""COMPUTED_VALUE"""),"")</f>
        <v/>
      </c>
      <c r="I442" s="29" t="str">
        <f ca="1">IFERROR(__xludf.DUMMYFUNCTION("""COMPUTED_VALUE"""),"")</f>
        <v/>
      </c>
      <c r="J442" s="29" t="str">
        <f ca="1">IFERROR(__xludf.DUMMYFUNCTION("""COMPUTED_VALUE"""),"")</f>
        <v/>
      </c>
      <c r="K442" s="29" t="str">
        <f ca="1">IFERROR(__xludf.DUMMYFUNCTION("""COMPUTED_VALUE"""),"")</f>
        <v/>
      </c>
      <c r="L442" s="29" t="str">
        <f ca="1">IFERROR(__xludf.DUMMYFUNCTION("""COMPUTED_VALUE"""),"")</f>
        <v/>
      </c>
      <c r="M442" s="29" t="str">
        <f ca="1">IFERROR(__xludf.DUMMYFUNCTION("""COMPUTED_VALUE"""),"")</f>
        <v/>
      </c>
      <c r="N442" s="29" t="str">
        <f ca="1">IFERROR(__xludf.DUMMYFUNCTION("""COMPUTED_VALUE"""),"")</f>
        <v/>
      </c>
    </row>
    <row r="443" spans="2:14" ht="12.5">
      <c r="B443" s="2"/>
      <c r="C443" s="2" t="str">
        <f ca="1">IFERROR(__xludf.DUMMYFUNCTION("""COMPUTED_VALUE"""),"")</f>
        <v/>
      </c>
      <c r="D443" s="2" t="str">
        <f ca="1">IFERROR(__xludf.DUMMYFUNCTION("""COMPUTED_VALUE"""),"")</f>
        <v/>
      </c>
      <c r="E443" s="29" t="str">
        <f ca="1">IFERROR(__xludf.DUMMYFUNCTION("""COMPUTED_VALUE"""),"")</f>
        <v/>
      </c>
      <c r="F443" s="30" t="str">
        <f ca="1">IFERROR(__xludf.DUMMYFUNCTION("""COMPUTED_VALUE"""),"")</f>
        <v/>
      </c>
      <c r="G443" s="29" t="str">
        <f ca="1">IFERROR(__xludf.DUMMYFUNCTION("""COMPUTED_VALUE"""),"")</f>
        <v/>
      </c>
      <c r="H443" s="30" t="str">
        <f ca="1">IFERROR(__xludf.DUMMYFUNCTION("""COMPUTED_VALUE"""),"")</f>
        <v/>
      </c>
      <c r="I443" s="29" t="str">
        <f ca="1">IFERROR(__xludf.DUMMYFUNCTION("""COMPUTED_VALUE"""),"")</f>
        <v/>
      </c>
      <c r="J443" s="29" t="str">
        <f ca="1">IFERROR(__xludf.DUMMYFUNCTION("""COMPUTED_VALUE"""),"")</f>
        <v/>
      </c>
      <c r="K443" s="29" t="str">
        <f ca="1">IFERROR(__xludf.DUMMYFUNCTION("""COMPUTED_VALUE"""),"")</f>
        <v/>
      </c>
      <c r="L443" s="29" t="str">
        <f ca="1">IFERROR(__xludf.DUMMYFUNCTION("""COMPUTED_VALUE"""),"")</f>
        <v/>
      </c>
      <c r="M443" s="29" t="str">
        <f ca="1">IFERROR(__xludf.DUMMYFUNCTION("""COMPUTED_VALUE"""),"")</f>
        <v/>
      </c>
      <c r="N443" s="29" t="str">
        <f ca="1">IFERROR(__xludf.DUMMYFUNCTION("""COMPUTED_VALUE"""),"")</f>
        <v/>
      </c>
    </row>
    <row r="444" spans="2:14" ht="12.5">
      <c r="B444" s="2"/>
      <c r="C444" s="2" t="str">
        <f ca="1">IFERROR(__xludf.DUMMYFUNCTION("""COMPUTED_VALUE"""),"")</f>
        <v/>
      </c>
      <c r="D444" s="2" t="str">
        <f ca="1">IFERROR(__xludf.DUMMYFUNCTION("""COMPUTED_VALUE"""),"")</f>
        <v/>
      </c>
      <c r="E444" s="29" t="str">
        <f ca="1">IFERROR(__xludf.DUMMYFUNCTION("""COMPUTED_VALUE"""),"")</f>
        <v/>
      </c>
      <c r="F444" s="30" t="str">
        <f ca="1">IFERROR(__xludf.DUMMYFUNCTION("""COMPUTED_VALUE"""),"")</f>
        <v/>
      </c>
      <c r="G444" s="29" t="str">
        <f ca="1">IFERROR(__xludf.DUMMYFUNCTION("""COMPUTED_VALUE"""),"")</f>
        <v/>
      </c>
      <c r="H444" s="30" t="str">
        <f ca="1">IFERROR(__xludf.DUMMYFUNCTION("""COMPUTED_VALUE"""),"")</f>
        <v/>
      </c>
      <c r="I444" s="29" t="str">
        <f ca="1">IFERROR(__xludf.DUMMYFUNCTION("""COMPUTED_VALUE"""),"")</f>
        <v/>
      </c>
      <c r="J444" s="29" t="str">
        <f ca="1">IFERROR(__xludf.DUMMYFUNCTION("""COMPUTED_VALUE"""),"")</f>
        <v/>
      </c>
      <c r="K444" s="29" t="str">
        <f ca="1">IFERROR(__xludf.DUMMYFUNCTION("""COMPUTED_VALUE"""),"")</f>
        <v/>
      </c>
      <c r="L444" s="29" t="str">
        <f ca="1">IFERROR(__xludf.DUMMYFUNCTION("""COMPUTED_VALUE"""),"")</f>
        <v/>
      </c>
      <c r="M444" s="29" t="str">
        <f ca="1">IFERROR(__xludf.DUMMYFUNCTION("""COMPUTED_VALUE"""),"")</f>
        <v/>
      </c>
      <c r="N444" s="29" t="str">
        <f ca="1">IFERROR(__xludf.DUMMYFUNCTION("""COMPUTED_VALUE"""),"")</f>
        <v/>
      </c>
    </row>
    <row r="445" spans="2:14" ht="12.5">
      <c r="B445" s="2"/>
      <c r="C445" s="2" t="str">
        <f ca="1">IFERROR(__xludf.DUMMYFUNCTION("""COMPUTED_VALUE"""),"")</f>
        <v/>
      </c>
      <c r="D445" s="2" t="str">
        <f ca="1">IFERROR(__xludf.DUMMYFUNCTION("""COMPUTED_VALUE"""),"")</f>
        <v/>
      </c>
      <c r="E445" s="29" t="str">
        <f ca="1">IFERROR(__xludf.DUMMYFUNCTION("""COMPUTED_VALUE"""),"")</f>
        <v/>
      </c>
      <c r="F445" s="30" t="str">
        <f ca="1">IFERROR(__xludf.DUMMYFUNCTION("""COMPUTED_VALUE"""),"")</f>
        <v/>
      </c>
      <c r="G445" s="29" t="str">
        <f ca="1">IFERROR(__xludf.DUMMYFUNCTION("""COMPUTED_VALUE"""),"")</f>
        <v/>
      </c>
      <c r="H445" s="30" t="str">
        <f ca="1">IFERROR(__xludf.DUMMYFUNCTION("""COMPUTED_VALUE"""),"")</f>
        <v/>
      </c>
      <c r="I445" s="29" t="str">
        <f ca="1">IFERROR(__xludf.DUMMYFUNCTION("""COMPUTED_VALUE"""),"")</f>
        <v/>
      </c>
      <c r="J445" s="29" t="str">
        <f ca="1">IFERROR(__xludf.DUMMYFUNCTION("""COMPUTED_VALUE"""),"")</f>
        <v/>
      </c>
      <c r="K445" s="29" t="str">
        <f ca="1">IFERROR(__xludf.DUMMYFUNCTION("""COMPUTED_VALUE"""),"")</f>
        <v/>
      </c>
      <c r="L445" s="29" t="str">
        <f ca="1">IFERROR(__xludf.DUMMYFUNCTION("""COMPUTED_VALUE"""),"")</f>
        <v/>
      </c>
      <c r="M445" s="29" t="str">
        <f ca="1">IFERROR(__xludf.DUMMYFUNCTION("""COMPUTED_VALUE"""),"")</f>
        <v/>
      </c>
      <c r="N445" s="29" t="str">
        <f ca="1">IFERROR(__xludf.DUMMYFUNCTION("""COMPUTED_VALUE"""),"")</f>
        <v/>
      </c>
    </row>
    <row r="446" spans="2:14" ht="12.5">
      <c r="B446" s="2"/>
      <c r="C446" s="2" t="str">
        <f ca="1">IFERROR(__xludf.DUMMYFUNCTION("""COMPUTED_VALUE"""),"")</f>
        <v/>
      </c>
      <c r="D446" s="2" t="str">
        <f ca="1">IFERROR(__xludf.DUMMYFUNCTION("""COMPUTED_VALUE"""),"")</f>
        <v/>
      </c>
      <c r="E446" s="29" t="str">
        <f ca="1">IFERROR(__xludf.DUMMYFUNCTION("""COMPUTED_VALUE"""),"")</f>
        <v/>
      </c>
      <c r="F446" s="30" t="str">
        <f ca="1">IFERROR(__xludf.DUMMYFUNCTION("""COMPUTED_VALUE"""),"")</f>
        <v/>
      </c>
      <c r="G446" s="29" t="str">
        <f ca="1">IFERROR(__xludf.DUMMYFUNCTION("""COMPUTED_VALUE"""),"")</f>
        <v/>
      </c>
      <c r="H446" s="30" t="str">
        <f ca="1">IFERROR(__xludf.DUMMYFUNCTION("""COMPUTED_VALUE"""),"")</f>
        <v/>
      </c>
      <c r="I446" s="29" t="str">
        <f ca="1">IFERROR(__xludf.DUMMYFUNCTION("""COMPUTED_VALUE"""),"")</f>
        <v/>
      </c>
      <c r="J446" s="29" t="str">
        <f ca="1">IFERROR(__xludf.DUMMYFUNCTION("""COMPUTED_VALUE"""),"")</f>
        <v/>
      </c>
      <c r="K446" s="29" t="str">
        <f ca="1">IFERROR(__xludf.DUMMYFUNCTION("""COMPUTED_VALUE"""),"")</f>
        <v/>
      </c>
      <c r="L446" s="29" t="str">
        <f ca="1">IFERROR(__xludf.DUMMYFUNCTION("""COMPUTED_VALUE"""),"")</f>
        <v/>
      </c>
      <c r="M446" s="29" t="str">
        <f ca="1">IFERROR(__xludf.DUMMYFUNCTION("""COMPUTED_VALUE"""),"")</f>
        <v/>
      </c>
      <c r="N446" s="29" t="str">
        <f ca="1">IFERROR(__xludf.DUMMYFUNCTION("""COMPUTED_VALUE"""),"")</f>
        <v/>
      </c>
    </row>
    <row r="447" spans="2:14" ht="12.5">
      <c r="B447" s="2"/>
      <c r="C447" s="2" t="str">
        <f ca="1">IFERROR(__xludf.DUMMYFUNCTION("""COMPUTED_VALUE"""),"")</f>
        <v/>
      </c>
      <c r="D447" s="2" t="str">
        <f ca="1">IFERROR(__xludf.DUMMYFUNCTION("""COMPUTED_VALUE"""),"")</f>
        <v/>
      </c>
      <c r="E447" s="29" t="str">
        <f ca="1">IFERROR(__xludf.DUMMYFUNCTION("""COMPUTED_VALUE"""),"")</f>
        <v/>
      </c>
      <c r="F447" s="30" t="str">
        <f ca="1">IFERROR(__xludf.DUMMYFUNCTION("""COMPUTED_VALUE"""),"")</f>
        <v/>
      </c>
      <c r="G447" s="29" t="str">
        <f ca="1">IFERROR(__xludf.DUMMYFUNCTION("""COMPUTED_VALUE"""),"")</f>
        <v/>
      </c>
      <c r="H447" s="30" t="str">
        <f ca="1">IFERROR(__xludf.DUMMYFUNCTION("""COMPUTED_VALUE"""),"")</f>
        <v/>
      </c>
      <c r="I447" s="29" t="str">
        <f ca="1">IFERROR(__xludf.DUMMYFUNCTION("""COMPUTED_VALUE"""),"")</f>
        <v/>
      </c>
      <c r="J447" s="29" t="str">
        <f ca="1">IFERROR(__xludf.DUMMYFUNCTION("""COMPUTED_VALUE"""),"")</f>
        <v/>
      </c>
      <c r="K447" s="29" t="str">
        <f ca="1">IFERROR(__xludf.DUMMYFUNCTION("""COMPUTED_VALUE"""),"")</f>
        <v/>
      </c>
      <c r="L447" s="29" t="str">
        <f ca="1">IFERROR(__xludf.DUMMYFUNCTION("""COMPUTED_VALUE"""),"")</f>
        <v/>
      </c>
      <c r="M447" s="29" t="str">
        <f ca="1">IFERROR(__xludf.DUMMYFUNCTION("""COMPUTED_VALUE"""),"")</f>
        <v/>
      </c>
      <c r="N447" s="29" t="str">
        <f ca="1">IFERROR(__xludf.DUMMYFUNCTION("""COMPUTED_VALUE"""),"")</f>
        <v/>
      </c>
    </row>
    <row r="448" spans="2:14" ht="12.5">
      <c r="B448" s="2"/>
      <c r="C448" s="2" t="str">
        <f ca="1">IFERROR(__xludf.DUMMYFUNCTION("""COMPUTED_VALUE"""),"")</f>
        <v/>
      </c>
      <c r="D448" s="2" t="str">
        <f ca="1">IFERROR(__xludf.DUMMYFUNCTION("""COMPUTED_VALUE"""),"")</f>
        <v/>
      </c>
      <c r="E448" s="29" t="str">
        <f ca="1">IFERROR(__xludf.DUMMYFUNCTION("""COMPUTED_VALUE"""),"")</f>
        <v/>
      </c>
      <c r="F448" s="30" t="str">
        <f ca="1">IFERROR(__xludf.DUMMYFUNCTION("""COMPUTED_VALUE"""),"")</f>
        <v/>
      </c>
      <c r="G448" s="29" t="str">
        <f ca="1">IFERROR(__xludf.DUMMYFUNCTION("""COMPUTED_VALUE"""),"")</f>
        <v/>
      </c>
      <c r="H448" s="30" t="str">
        <f ca="1">IFERROR(__xludf.DUMMYFUNCTION("""COMPUTED_VALUE"""),"")</f>
        <v/>
      </c>
      <c r="I448" s="29" t="str">
        <f ca="1">IFERROR(__xludf.DUMMYFUNCTION("""COMPUTED_VALUE"""),"")</f>
        <v/>
      </c>
      <c r="J448" s="29" t="str">
        <f ca="1">IFERROR(__xludf.DUMMYFUNCTION("""COMPUTED_VALUE"""),"")</f>
        <v/>
      </c>
      <c r="K448" s="29" t="str">
        <f ca="1">IFERROR(__xludf.DUMMYFUNCTION("""COMPUTED_VALUE"""),"")</f>
        <v/>
      </c>
      <c r="L448" s="29" t="str">
        <f ca="1">IFERROR(__xludf.DUMMYFUNCTION("""COMPUTED_VALUE"""),"")</f>
        <v/>
      </c>
      <c r="M448" s="29" t="str">
        <f ca="1">IFERROR(__xludf.DUMMYFUNCTION("""COMPUTED_VALUE"""),"")</f>
        <v/>
      </c>
      <c r="N448" s="29" t="str">
        <f ca="1">IFERROR(__xludf.DUMMYFUNCTION("""COMPUTED_VALUE"""),"")</f>
        <v/>
      </c>
    </row>
    <row r="449" spans="2:14" ht="12.5">
      <c r="B449" s="2"/>
      <c r="C449" s="2" t="str">
        <f ca="1">IFERROR(__xludf.DUMMYFUNCTION("""COMPUTED_VALUE"""),"")</f>
        <v/>
      </c>
      <c r="D449" s="2" t="str">
        <f ca="1">IFERROR(__xludf.DUMMYFUNCTION("""COMPUTED_VALUE"""),"")</f>
        <v/>
      </c>
      <c r="E449" s="29" t="str">
        <f ca="1">IFERROR(__xludf.DUMMYFUNCTION("""COMPUTED_VALUE"""),"")</f>
        <v/>
      </c>
      <c r="F449" s="30" t="str">
        <f ca="1">IFERROR(__xludf.DUMMYFUNCTION("""COMPUTED_VALUE"""),"")</f>
        <v/>
      </c>
      <c r="G449" s="29" t="str">
        <f ca="1">IFERROR(__xludf.DUMMYFUNCTION("""COMPUTED_VALUE"""),"")</f>
        <v/>
      </c>
      <c r="H449" s="30" t="str">
        <f ca="1">IFERROR(__xludf.DUMMYFUNCTION("""COMPUTED_VALUE"""),"")</f>
        <v/>
      </c>
      <c r="I449" s="29" t="str">
        <f ca="1">IFERROR(__xludf.DUMMYFUNCTION("""COMPUTED_VALUE"""),"")</f>
        <v/>
      </c>
      <c r="J449" s="29" t="str">
        <f ca="1">IFERROR(__xludf.DUMMYFUNCTION("""COMPUTED_VALUE"""),"")</f>
        <v/>
      </c>
      <c r="K449" s="29" t="str">
        <f ca="1">IFERROR(__xludf.DUMMYFUNCTION("""COMPUTED_VALUE"""),"")</f>
        <v/>
      </c>
      <c r="L449" s="29" t="str">
        <f ca="1">IFERROR(__xludf.DUMMYFUNCTION("""COMPUTED_VALUE"""),"")</f>
        <v/>
      </c>
      <c r="M449" s="29" t="str">
        <f ca="1">IFERROR(__xludf.DUMMYFUNCTION("""COMPUTED_VALUE"""),"")</f>
        <v/>
      </c>
      <c r="N449" s="29" t="str">
        <f ca="1">IFERROR(__xludf.DUMMYFUNCTION("""COMPUTED_VALUE"""),"")</f>
        <v/>
      </c>
    </row>
    <row r="450" spans="2:14" ht="12.5">
      <c r="B450" s="2"/>
      <c r="C450" s="2" t="str">
        <f ca="1">IFERROR(__xludf.DUMMYFUNCTION("""COMPUTED_VALUE"""),"")</f>
        <v/>
      </c>
      <c r="D450" s="2" t="str">
        <f ca="1">IFERROR(__xludf.DUMMYFUNCTION("""COMPUTED_VALUE"""),"")</f>
        <v/>
      </c>
      <c r="E450" s="29" t="str">
        <f ca="1">IFERROR(__xludf.DUMMYFUNCTION("""COMPUTED_VALUE"""),"")</f>
        <v/>
      </c>
      <c r="F450" s="30" t="str">
        <f ca="1">IFERROR(__xludf.DUMMYFUNCTION("""COMPUTED_VALUE"""),"")</f>
        <v/>
      </c>
      <c r="G450" s="29" t="str">
        <f ca="1">IFERROR(__xludf.DUMMYFUNCTION("""COMPUTED_VALUE"""),"")</f>
        <v/>
      </c>
      <c r="H450" s="30" t="str">
        <f ca="1">IFERROR(__xludf.DUMMYFUNCTION("""COMPUTED_VALUE"""),"")</f>
        <v/>
      </c>
      <c r="I450" s="29" t="str">
        <f ca="1">IFERROR(__xludf.DUMMYFUNCTION("""COMPUTED_VALUE"""),"")</f>
        <v/>
      </c>
      <c r="J450" s="29" t="str">
        <f ca="1">IFERROR(__xludf.DUMMYFUNCTION("""COMPUTED_VALUE"""),"")</f>
        <v/>
      </c>
      <c r="K450" s="29" t="str">
        <f ca="1">IFERROR(__xludf.DUMMYFUNCTION("""COMPUTED_VALUE"""),"")</f>
        <v/>
      </c>
      <c r="L450" s="29" t="str">
        <f ca="1">IFERROR(__xludf.DUMMYFUNCTION("""COMPUTED_VALUE"""),"")</f>
        <v/>
      </c>
      <c r="M450" s="29" t="str">
        <f ca="1">IFERROR(__xludf.DUMMYFUNCTION("""COMPUTED_VALUE"""),"")</f>
        <v/>
      </c>
      <c r="N450" s="29" t="str">
        <f ca="1">IFERROR(__xludf.DUMMYFUNCTION("""COMPUTED_VALUE"""),"")</f>
        <v/>
      </c>
    </row>
    <row r="451" spans="2:14" ht="12.5">
      <c r="B451" s="2"/>
      <c r="C451" s="2" t="str">
        <f ca="1">IFERROR(__xludf.DUMMYFUNCTION("""COMPUTED_VALUE"""),"")</f>
        <v/>
      </c>
      <c r="D451" s="2" t="str">
        <f ca="1">IFERROR(__xludf.DUMMYFUNCTION("""COMPUTED_VALUE"""),"")</f>
        <v/>
      </c>
      <c r="E451" s="29" t="str">
        <f ca="1">IFERROR(__xludf.DUMMYFUNCTION("""COMPUTED_VALUE"""),"")</f>
        <v/>
      </c>
      <c r="F451" s="30" t="str">
        <f ca="1">IFERROR(__xludf.DUMMYFUNCTION("""COMPUTED_VALUE"""),"")</f>
        <v/>
      </c>
      <c r="G451" s="29" t="str">
        <f ca="1">IFERROR(__xludf.DUMMYFUNCTION("""COMPUTED_VALUE"""),"")</f>
        <v/>
      </c>
      <c r="H451" s="30" t="str">
        <f ca="1">IFERROR(__xludf.DUMMYFUNCTION("""COMPUTED_VALUE"""),"")</f>
        <v/>
      </c>
      <c r="I451" s="29" t="str">
        <f ca="1">IFERROR(__xludf.DUMMYFUNCTION("""COMPUTED_VALUE"""),"")</f>
        <v/>
      </c>
      <c r="J451" s="29" t="str">
        <f ca="1">IFERROR(__xludf.DUMMYFUNCTION("""COMPUTED_VALUE"""),"")</f>
        <v/>
      </c>
      <c r="K451" s="29" t="str">
        <f ca="1">IFERROR(__xludf.DUMMYFUNCTION("""COMPUTED_VALUE"""),"")</f>
        <v/>
      </c>
      <c r="L451" s="29" t="str">
        <f ca="1">IFERROR(__xludf.DUMMYFUNCTION("""COMPUTED_VALUE"""),"")</f>
        <v/>
      </c>
      <c r="M451" s="29" t="str">
        <f ca="1">IFERROR(__xludf.DUMMYFUNCTION("""COMPUTED_VALUE"""),"")</f>
        <v/>
      </c>
      <c r="N451" s="29" t="str">
        <f ca="1">IFERROR(__xludf.DUMMYFUNCTION("""COMPUTED_VALUE"""),"")</f>
        <v/>
      </c>
    </row>
    <row r="452" spans="2:14" ht="12.5">
      <c r="B452" s="2"/>
      <c r="C452" s="2" t="str">
        <f ca="1">IFERROR(__xludf.DUMMYFUNCTION("""COMPUTED_VALUE"""),"")</f>
        <v/>
      </c>
      <c r="D452" s="2" t="str">
        <f ca="1">IFERROR(__xludf.DUMMYFUNCTION("""COMPUTED_VALUE"""),"")</f>
        <v/>
      </c>
      <c r="E452" s="29" t="str">
        <f ca="1">IFERROR(__xludf.DUMMYFUNCTION("""COMPUTED_VALUE"""),"")</f>
        <v/>
      </c>
      <c r="F452" s="30" t="str">
        <f ca="1">IFERROR(__xludf.DUMMYFUNCTION("""COMPUTED_VALUE"""),"")</f>
        <v/>
      </c>
      <c r="G452" s="29" t="str">
        <f ca="1">IFERROR(__xludf.DUMMYFUNCTION("""COMPUTED_VALUE"""),"")</f>
        <v/>
      </c>
      <c r="H452" s="30" t="str">
        <f ca="1">IFERROR(__xludf.DUMMYFUNCTION("""COMPUTED_VALUE"""),"")</f>
        <v/>
      </c>
      <c r="I452" s="29" t="str">
        <f ca="1">IFERROR(__xludf.DUMMYFUNCTION("""COMPUTED_VALUE"""),"")</f>
        <v/>
      </c>
      <c r="J452" s="29" t="str">
        <f ca="1">IFERROR(__xludf.DUMMYFUNCTION("""COMPUTED_VALUE"""),"")</f>
        <v/>
      </c>
      <c r="K452" s="29" t="str">
        <f ca="1">IFERROR(__xludf.DUMMYFUNCTION("""COMPUTED_VALUE"""),"")</f>
        <v/>
      </c>
      <c r="L452" s="29" t="str">
        <f ca="1">IFERROR(__xludf.DUMMYFUNCTION("""COMPUTED_VALUE"""),"")</f>
        <v/>
      </c>
      <c r="M452" s="29" t="str">
        <f ca="1">IFERROR(__xludf.DUMMYFUNCTION("""COMPUTED_VALUE"""),"")</f>
        <v/>
      </c>
      <c r="N452" s="29" t="str">
        <f ca="1">IFERROR(__xludf.DUMMYFUNCTION("""COMPUTED_VALUE"""),"")</f>
        <v/>
      </c>
    </row>
    <row r="453" spans="2:14" ht="12.5">
      <c r="B453" s="2"/>
      <c r="C453" s="2" t="str">
        <f ca="1">IFERROR(__xludf.DUMMYFUNCTION("""COMPUTED_VALUE"""),"")</f>
        <v/>
      </c>
      <c r="D453" s="2" t="str">
        <f ca="1">IFERROR(__xludf.DUMMYFUNCTION("""COMPUTED_VALUE"""),"")</f>
        <v/>
      </c>
      <c r="E453" s="29" t="str">
        <f ca="1">IFERROR(__xludf.DUMMYFUNCTION("""COMPUTED_VALUE"""),"")</f>
        <v/>
      </c>
      <c r="F453" s="30" t="str">
        <f ca="1">IFERROR(__xludf.DUMMYFUNCTION("""COMPUTED_VALUE"""),"")</f>
        <v/>
      </c>
      <c r="G453" s="29" t="str">
        <f ca="1">IFERROR(__xludf.DUMMYFUNCTION("""COMPUTED_VALUE"""),"")</f>
        <v/>
      </c>
      <c r="H453" s="30" t="str">
        <f ca="1">IFERROR(__xludf.DUMMYFUNCTION("""COMPUTED_VALUE"""),"")</f>
        <v/>
      </c>
      <c r="I453" s="29" t="str">
        <f ca="1">IFERROR(__xludf.DUMMYFUNCTION("""COMPUTED_VALUE"""),"")</f>
        <v/>
      </c>
      <c r="J453" s="29" t="str">
        <f ca="1">IFERROR(__xludf.DUMMYFUNCTION("""COMPUTED_VALUE"""),"")</f>
        <v/>
      </c>
      <c r="K453" s="29" t="str">
        <f ca="1">IFERROR(__xludf.DUMMYFUNCTION("""COMPUTED_VALUE"""),"")</f>
        <v/>
      </c>
      <c r="L453" s="29" t="str">
        <f ca="1">IFERROR(__xludf.DUMMYFUNCTION("""COMPUTED_VALUE"""),"")</f>
        <v/>
      </c>
      <c r="M453" s="29" t="str">
        <f ca="1">IFERROR(__xludf.DUMMYFUNCTION("""COMPUTED_VALUE"""),"")</f>
        <v/>
      </c>
      <c r="N453" s="29" t="str">
        <f ca="1">IFERROR(__xludf.DUMMYFUNCTION("""COMPUTED_VALUE"""),"")</f>
        <v/>
      </c>
    </row>
    <row r="454" spans="2:14" ht="12.5">
      <c r="B454" s="2"/>
      <c r="C454" s="2" t="str">
        <f ca="1">IFERROR(__xludf.DUMMYFUNCTION("""COMPUTED_VALUE"""),"")</f>
        <v/>
      </c>
      <c r="D454" s="2" t="str">
        <f ca="1">IFERROR(__xludf.DUMMYFUNCTION("""COMPUTED_VALUE"""),"")</f>
        <v/>
      </c>
      <c r="E454" s="29" t="str">
        <f ca="1">IFERROR(__xludf.DUMMYFUNCTION("""COMPUTED_VALUE"""),"")</f>
        <v/>
      </c>
      <c r="F454" s="30" t="str">
        <f ca="1">IFERROR(__xludf.DUMMYFUNCTION("""COMPUTED_VALUE"""),"")</f>
        <v/>
      </c>
      <c r="G454" s="29" t="str">
        <f ca="1">IFERROR(__xludf.DUMMYFUNCTION("""COMPUTED_VALUE"""),"")</f>
        <v/>
      </c>
      <c r="H454" s="30" t="str">
        <f ca="1">IFERROR(__xludf.DUMMYFUNCTION("""COMPUTED_VALUE"""),"")</f>
        <v/>
      </c>
      <c r="I454" s="29" t="str">
        <f ca="1">IFERROR(__xludf.DUMMYFUNCTION("""COMPUTED_VALUE"""),"")</f>
        <v/>
      </c>
      <c r="J454" s="29" t="str">
        <f ca="1">IFERROR(__xludf.DUMMYFUNCTION("""COMPUTED_VALUE"""),"")</f>
        <v/>
      </c>
      <c r="K454" s="29" t="str">
        <f ca="1">IFERROR(__xludf.DUMMYFUNCTION("""COMPUTED_VALUE"""),"")</f>
        <v/>
      </c>
      <c r="L454" s="29" t="str">
        <f ca="1">IFERROR(__xludf.DUMMYFUNCTION("""COMPUTED_VALUE"""),"")</f>
        <v/>
      </c>
      <c r="M454" s="29" t="str">
        <f ca="1">IFERROR(__xludf.DUMMYFUNCTION("""COMPUTED_VALUE"""),"")</f>
        <v/>
      </c>
      <c r="N454" s="29" t="str">
        <f ca="1">IFERROR(__xludf.DUMMYFUNCTION("""COMPUTED_VALUE"""),"")</f>
        <v/>
      </c>
    </row>
    <row r="455" spans="2:14" ht="12.5">
      <c r="B455" s="2"/>
      <c r="C455" s="2" t="str">
        <f ca="1">IFERROR(__xludf.DUMMYFUNCTION("""COMPUTED_VALUE"""),"")</f>
        <v/>
      </c>
      <c r="D455" s="2" t="str">
        <f ca="1">IFERROR(__xludf.DUMMYFUNCTION("""COMPUTED_VALUE"""),"")</f>
        <v/>
      </c>
      <c r="E455" s="29" t="str">
        <f ca="1">IFERROR(__xludf.DUMMYFUNCTION("""COMPUTED_VALUE"""),"")</f>
        <v/>
      </c>
      <c r="F455" s="30" t="str">
        <f ca="1">IFERROR(__xludf.DUMMYFUNCTION("""COMPUTED_VALUE"""),"")</f>
        <v/>
      </c>
      <c r="G455" s="29" t="str">
        <f ca="1">IFERROR(__xludf.DUMMYFUNCTION("""COMPUTED_VALUE"""),"")</f>
        <v/>
      </c>
      <c r="H455" s="30" t="str">
        <f ca="1">IFERROR(__xludf.DUMMYFUNCTION("""COMPUTED_VALUE"""),"")</f>
        <v/>
      </c>
      <c r="I455" s="29" t="str">
        <f ca="1">IFERROR(__xludf.DUMMYFUNCTION("""COMPUTED_VALUE"""),"")</f>
        <v/>
      </c>
      <c r="J455" s="29" t="str">
        <f ca="1">IFERROR(__xludf.DUMMYFUNCTION("""COMPUTED_VALUE"""),"")</f>
        <v/>
      </c>
      <c r="K455" s="29" t="str">
        <f ca="1">IFERROR(__xludf.DUMMYFUNCTION("""COMPUTED_VALUE"""),"")</f>
        <v/>
      </c>
      <c r="L455" s="29" t="str">
        <f ca="1">IFERROR(__xludf.DUMMYFUNCTION("""COMPUTED_VALUE"""),"")</f>
        <v/>
      </c>
      <c r="M455" s="29" t="str">
        <f ca="1">IFERROR(__xludf.DUMMYFUNCTION("""COMPUTED_VALUE"""),"")</f>
        <v/>
      </c>
      <c r="N455" s="29" t="str">
        <f ca="1">IFERROR(__xludf.DUMMYFUNCTION("""COMPUTED_VALUE"""),"")</f>
        <v/>
      </c>
    </row>
    <row r="456" spans="2:14" ht="12.5">
      <c r="B456" s="2"/>
      <c r="C456" s="2" t="str">
        <f ca="1">IFERROR(__xludf.DUMMYFUNCTION("""COMPUTED_VALUE"""),"")</f>
        <v/>
      </c>
      <c r="D456" s="2" t="str">
        <f ca="1">IFERROR(__xludf.DUMMYFUNCTION("""COMPUTED_VALUE"""),"")</f>
        <v/>
      </c>
      <c r="E456" s="29" t="str">
        <f ca="1">IFERROR(__xludf.DUMMYFUNCTION("""COMPUTED_VALUE"""),"")</f>
        <v/>
      </c>
      <c r="F456" s="30" t="str">
        <f ca="1">IFERROR(__xludf.DUMMYFUNCTION("""COMPUTED_VALUE"""),"")</f>
        <v/>
      </c>
      <c r="G456" s="29" t="str">
        <f ca="1">IFERROR(__xludf.DUMMYFUNCTION("""COMPUTED_VALUE"""),"")</f>
        <v/>
      </c>
      <c r="H456" s="30" t="str">
        <f ca="1">IFERROR(__xludf.DUMMYFUNCTION("""COMPUTED_VALUE"""),"")</f>
        <v/>
      </c>
      <c r="I456" s="29" t="str">
        <f ca="1">IFERROR(__xludf.DUMMYFUNCTION("""COMPUTED_VALUE"""),"")</f>
        <v/>
      </c>
      <c r="J456" s="29" t="str">
        <f ca="1">IFERROR(__xludf.DUMMYFUNCTION("""COMPUTED_VALUE"""),"")</f>
        <v/>
      </c>
      <c r="K456" s="29" t="str">
        <f ca="1">IFERROR(__xludf.DUMMYFUNCTION("""COMPUTED_VALUE"""),"")</f>
        <v/>
      </c>
      <c r="L456" s="29" t="str">
        <f ca="1">IFERROR(__xludf.DUMMYFUNCTION("""COMPUTED_VALUE"""),"")</f>
        <v/>
      </c>
      <c r="M456" s="29" t="str">
        <f ca="1">IFERROR(__xludf.DUMMYFUNCTION("""COMPUTED_VALUE"""),"")</f>
        <v/>
      </c>
      <c r="N456" s="29" t="str">
        <f ca="1">IFERROR(__xludf.DUMMYFUNCTION("""COMPUTED_VALUE"""),"")</f>
        <v/>
      </c>
    </row>
    <row r="457" spans="2:14" ht="12.5">
      <c r="B457" s="2"/>
      <c r="C457" s="2" t="str">
        <f ca="1">IFERROR(__xludf.DUMMYFUNCTION("""COMPUTED_VALUE"""),"")</f>
        <v/>
      </c>
      <c r="D457" s="2" t="str">
        <f ca="1">IFERROR(__xludf.DUMMYFUNCTION("""COMPUTED_VALUE"""),"")</f>
        <v/>
      </c>
      <c r="E457" s="29" t="str">
        <f ca="1">IFERROR(__xludf.DUMMYFUNCTION("""COMPUTED_VALUE"""),"")</f>
        <v/>
      </c>
      <c r="F457" s="30" t="str">
        <f ca="1">IFERROR(__xludf.DUMMYFUNCTION("""COMPUTED_VALUE"""),"")</f>
        <v/>
      </c>
      <c r="G457" s="29" t="str">
        <f ca="1">IFERROR(__xludf.DUMMYFUNCTION("""COMPUTED_VALUE"""),"")</f>
        <v/>
      </c>
      <c r="H457" s="30" t="str">
        <f ca="1">IFERROR(__xludf.DUMMYFUNCTION("""COMPUTED_VALUE"""),"")</f>
        <v/>
      </c>
      <c r="I457" s="29" t="str">
        <f ca="1">IFERROR(__xludf.DUMMYFUNCTION("""COMPUTED_VALUE"""),"")</f>
        <v/>
      </c>
      <c r="J457" s="29" t="str">
        <f ca="1">IFERROR(__xludf.DUMMYFUNCTION("""COMPUTED_VALUE"""),"")</f>
        <v/>
      </c>
      <c r="K457" s="29" t="str">
        <f ca="1">IFERROR(__xludf.DUMMYFUNCTION("""COMPUTED_VALUE"""),"")</f>
        <v/>
      </c>
      <c r="L457" s="29" t="str">
        <f ca="1">IFERROR(__xludf.DUMMYFUNCTION("""COMPUTED_VALUE"""),"")</f>
        <v/>
      </c>
      <c r="M457" s="29" t="str">
        <f ca="1">IFERROR(__xludf.DUMMYFUNCTION("""COMPUTED_VALUE"""),"")</f>
        <v/>
      </c>
      <c r="N457" s="29" t="str">
        <f ca="1">IFERROR(__xludf.DUMMYFUNCTION("""COMPUTED_VALUE"""),"")</f>
        <v/>
      </c>
    </row>
    <row r="458" spans="2:14" ht="12.5">
      <c r="B458" s="2"/>
      <c r="C458" s="2" t="str">
        <f ca="1">IFERROR(__xludf.DUMMYFUNCTION("""COMPUTED_VALUE"""),"")</f>
        <v/>
      </c>
      <c r="D458" s="2" t="str">
        <f ca="1">IFERROR(__xludf.DUMMYFUNCTION("""COMPUTED_VALUE"""),"")</f>
        <v/>
      </c>
      <c r="E458" s="29" t="str">
        <f ca="1">IFERROR(__xludf.DUMMYFUNCTION("""COMPUTED_VALUE"""),"")</f>
        <v/>
      </c>
      <c r="F458" s="30" t="str">
        <f ca="1">IFERROR(__xludf.DUMMYFUNCTION("""COMPUTED_VALUE"""),"")</f>
        <v/>
      </c>
      <c r="G458" s="29" t="str">
        <f ca="1">IFERROR(__xludf.DUMMYFUNCTION("""COMPUTED_VALUE"""),"")</f>
        <v/>
      </c>
      <c r="H458" s="30" t="str">
        <f ca="1">IFERROR(__xludf.DUMMYFUNCTION("""COMPUTED_VALUE"""),"")</f>
        <v/>
      </c>
      <c r="I458" s="29" t="str">
        <f ca="1">IFERROR(__xludf.DUMMYFUNCTION("""COMPUTED_VALUE"""),"")</f>
        <v/>
      </c>
      <c r="J458" s="29" t="str">
        <f ca="1">IFERROR(__xludf.DUMMYFUNCTION("""COMPUTED_VALUE"""),"")</f>
        <v/>
      </c>
      <c r="K458" s="29" t="str">
        <f ca="1">IFERROR(__xludf.DUMMYFUNCTION("""COMPUTED_VALUE"""),"")</f>
        <v/>
      </c>
      <c r="L458" s="29" t="str">
        <f ca="1">IFERROR(__xludf.DUMMYFUNCTION("""COMPUTED_VALUE"""),"")</f>
        <v/>
      </c>
      <c r="M458" s="29" t="str">
        <f ca="1">IFERROR(__xludf.DUMMYFUNCTION("""COMPUTED_VALUE"""),"")</f>
        <v/>
      </c>
      <c r="N458" s="29" t="str">
        <f ca="1">IFERROR(__xludf.DUMMYFUNCTION("""COMPUTED_VALUE"""),"")</f>
        <v/>
      </c>
    </row>
    <row r="459" spans="2:14" ht="12.5">
      <c r="B459" s="2"/>
      <c r="C459" s="2" t="str">
        <f ca="1">IFERROR(__xludf.DUMMYFUNCTION("""COMPUTED_VALUE"""),"")</f>
        <v/>
      </c>
      <c r="D459" s="2" t="str">
        <f ca="1">IFERROR(__xludf.DUMMYFUNCTION("""COMPUTED_VALUE"""),"")</f>
        <v/>
      </c>
      <c r="E459" s="29" t="str">
        <f ca="1">IFERROR(__xludf.DUMMYFUNCTION("""COMPUTED_VALUE"""),"")</f>
        <v/>
      </c>
      <c r="F459" s="30" t="str">
        <f ca="1">IFERROR(__xludf.DUMMYFUNCTION("""COMPUTED_VALUE"""),"")</f>
        <v/>
      </c>
      <c r="G459" s="29" t="str">
        <f ca="1">IFERROR(__xludf.DUMMYFUNCTION("""COMPUTED_VALUE"""),"")</f>
        <v/>
      </c>
      <c r="H459" s="30" t="str">
        <f ca="1">IFERROR(__xludf.DUMMYFUNCTION("""COMPUTED_VALUE"""),"")</f>
        <v/>
      </c>
      <c r="I459" s="29" t="str">
        <f ca="1">IFERROR(__xludf.DUMMYFUNCTION("""COMPUTED_VALUE"""),"")</f>
        <v/>
      </c>
      <c r="J459" s="29" t="str">
        <f ca="1">IFERROR(__xludf.DUMMYFUNCTION("""COMPUTED_VALUE"""),"")</f>
        <v/>
      </c>
      <c r="K459" s="29" t="str">
        <f ca="1">IFERROR(__xludf.DUMMYFUNCTION("""COMPUTED_VALUE"""),"")</f>
        <v/>
      </c>
      <c r="L459" s="29" t="str">
        <f ca="1">IFERROR(__xludf.DUMMYFUNCTION("""COMPUTED_VALUE"""),"")</f>
        <v/>
      </c>
      <c r="M459" s="29" t="str">
        <f ca="1">IFERROR(__xludf.DUMMYFUNCTION("""COMPUTED_VALUE"""),"")</f>
        <v/>
      </c>
      <c r="N459" s="29" t="str">
        <f ca="1">IFERROR(__xludf.DUMMYFUNCTION("""COMPUTED_VALUE"""),"")</f>
        <v/>
      </c>
    </row>
    <row r="460" spans="2:14" ht="12.5">
      <c r="B460" s="2"/>
      <c r="C460" s="2" t="str">
        <f ca="1">IFERROR(__xludf.DUMMYFUNCTION("""COMPUTED_VALUE"""),"")</f>
        <v/>
      </c>
      <c r="D460" s="2" t="str">
        <f ca="1">IFERROR(__xludf.DUMMYFUNCTION("""COMPUTED_VALUE"""),"")</f>
        <v/>
      </c>
      <c r="E460" s="29" t="str">
        <f ca="1">IFERROR(__xludf.DUMMYFUNCTION("""COMPUTED_VALUE"""),"")</f>
        <v/>
      </c>
      <c r="F460" s="30" t="str">
        <f ca="1">IFERROR(__xludf.DUMMYFUNCTION("""COMPUTED_VALUE"""),"")</f>
        <v/>
      </c>
      <c r="G460" s="29" t="str">
        <f ca="1">IFERROR(__xludf.DUMMYFUNCTION("""COMPUTED_VALUE"""),"")</f>
        <v/>
      </c>
      <c r="H460" s="30" t="str">
        <f ca="1">IFERROR(__xludf.DUMMYFUNCTION("""COMPUTED_VALUE"""),"")</f>
        <v/>
      </c>
      <c r="I460" s="29" t="str">
        <f ca="1">IFERROR(__xludf.DUMMYFUNCTION("""COMPUTED_VALUE"""),"")</f>
        <v/>
      </c>
      <c r="J460" s="29" t="str">
        <f ca="1">IFERROR(__xludf.DUMMYFUNCTION("""COMPUTED_VALUE"""),"")</f>
        <v/>
      </c>
      <c r="K460" s="29" t="str">
        <f ca="1">IFERROR(__xludf.DUMMYFUNCTION("""COMPUTED_VALUE"""),"")</f>
        <v/>
      </c>
      <c r="L460" s="29" t="str">
        <f ca="1">IFERROR(__xludf.DUMMYFUNCTION("""COMPUTED_VALUE"""),"")</f>
        <v/>
      </c>
      <c r="M460" s="29" t="str">
        <f ca="1">IFERROR(__xludf.DUMMYFUNCTION("""COMPUTED_VALUE"""),"")</f>
        <v/>
      </c>
      <c r="N460" s="29" t="str">
        <f ca="1">IFERROR(__xludf.DUMMYFUNCTION("""COMPUTED_VALUE"""),"")</f>
        <v/>
      </c>
    </row>
    <row r="461" spans="2:14" ht="12.5">
      <c r="B461" s="2"/>
      <c r="C461" s="2" t="str">
        <f ca="1">IFERROR(__xludf.DUMMYFUNCTION("""COMPUTED_VALUE"""),"")</f>
        <v/>
      </c>
      <c r="D461" s="2" t="str">
        <f ca="1">IFERROR(__xludf.DUMMYFUNCTION("""COMPUTED_VALUE"""),"")</f>
        <v/>
      </c>
      <c r="E461" s="29" t="str">
        <f ca="1">IFERROR(__xludf.DUMMYFUNCTION("""COMPUTED_VALUE"""),"")</f>
        <v/>
      </c>
      <c r="F461" s="30" t="str">
        <f ca="1">IFERROR(__xludf.DUMMYFUNCTION("""COMPUTED_VALUE"""),"")</f>
        <v/>
      </c>
      <c r="G461" s="29" t="str">
        <f ca="1">IFERROR(__xludf.DUMMYFUNCTION("""COMPUTED_VALUE"""),"")</f>
        <v/>
      </c>
      <c r="H461" s="30" t="str">
        <f ca="1">IFERROR(__xludf.DUMMYFUNCTION("""COMPUTED_VALUE"""),"")</f>
        <v/>
      </c>
      <c r="I461" s="29" t="str">
        <f ca="1">IFERROR(__xludf.DUMMYFUNCTION("""COMPUTED_VALUE"""),"")</f>
        <v/>
      </c>
      <c r="J461" s="29" t="str">
        <f ca="1">IFERROR(__xludf.DUMMYFUNCTION("""COMPUTED_VALUE"""),"")</f>
        <v/>
      </c>
      <c r="K461" s="29" t="str">
        <f ca="1">IFERROR(__xludf.DUMMYFUNCTION("""COMPUTED_VALUE"""),"")</f>
        <v/>
      </c>
      <c r="L461" s="29" t="str">
        <f ca="1">IFERROR(__xludf.DUMMYFUNCTION("""COMPUTED_VALUE"""),"")</f>
        <v/>
      </c>
      <c r="M461" s="29" t="str">
        <f ca="1">IFERROR(__xludf.DUMMYFUNCTION("""COMPUTED_VALUE"""),"")</f>
        <v/>
      </c>
      <c r="N461" s="29" t="str">
        <f ca="1">IFERROR(__xludf.DUMMYFUNCTION("""COMPUTED_VALUE"""),"")</f>
        <v/>
      </c>
    </row>
    <row r="462" spans="2:14" ht="12.5">
      <c r="B462" s="2"/>
      <c r="C462" s="2" t="str">
        <f ca="1">IFERROR(__xludf.DUMMYFUNCTION("""COMPUTED_VALUE"""),"")</f>
        <v/>
      </c>
      <c r="D462" s="2" t="str">
        <f ca="1">IFERROR(__xludf.DUMMYFUNCTION("""COMPUTED_VALUE"""),"")</f>
        <v/>
      </c>
      <c r="E462" s="29" t="str">
        <f ca="1">IFERROR(__xludf.DUMMYFUNCTION("""COMPUTED_VALUE"""),"")</f>
        <v/>
      </c>
      <c r="F462" s="30" t="str">
        <f ca="1">IFERROR(__xludf.DUMMYFUNCTION("""COMPUTED_VALUE"""),"")</f>
        <v/>
      </c>
      <c r="G462" s="29" t="str">
        <f ca="1">IFERROR(__xludf.DUMMYFUNCTION("""COMPUTED_VALUE"""),"")</f>
        <v/>
      </c>
      <c r="H462" s="30" t="str">
        <f ca="1">IFERROR(__xludf.DUMMYFUNCTION("""COMPUTED_VALUE"""),"")</f>
        <v/>
      </c>
      <c r="I462" s="29" t="str">
        <f ca="1">IFERROR(__xludf.DUMMYFUNCTION("""COMPUTED_VALUE"""),"")</f>
        <v/>
      </c>
      <c r="J462" s="29" t="str">
        <f ca="1">IFERROR(__xludf.DUMMYFUNCTION("""COMPUTED_VALUE"""),"")</f>
        <v/>
      </c>
      <c r="K462" s="29" t="str">
        <f ca="1">IFERROR(__xludf.DUMMYFUNCTION("""COMPUTED_VALUE"""),"")</f>
        <v/>
      </c>
      <c r="L462" s="29" t="str">
        <f ca="1">IFERROR(__xludf.DUMMYFUNCTION("""COMPUTED_VALUE"""),"")</f>
        <v/>
      </c>
      <c r="M462" s="29" t="str">
        <f ca="1">IFERROR(__xludf.DUMMYFUNCTION("""COMPUTED_VALUE"""),"")</f>
        <v/>
      </c>
      <c r="N462" s="29" t="str">
        <f ca="1">IFERROR(__xludf.DUMMYFUNCTION("""COMPUTED_VALUE"""),"")</f>
        <v/>
      </c>
    </row>
    <row r="463" spans="2:14" ht="12.5">
      <c r="B463" s="2"/>
      <c r="C463" s="2" t="str">
        <f ca="1">IFERROR(__xludf.DUMMYFUNCTION("""COMPUTED_VALUE"""),"")</f>
        <v/>
      </c>
      <c r="D463" s="2" t="str">
        <f ca="1">IFERROR(__xludf.DUMMYFUNCTION("""COMPUTED_VALUE"""),"")</f>
        <v/>
      </c>
      <c r="E463" s="29" t="str">
        <f ca="1">IFERROR(__xludf.DUMMYFUNCTION("""COMPUTED_VALUE"""),"")</f>
        <v/>
      </c>
      <c r="F463" s="30" t="str">
        <f ca="1">IFERROR(__xludf.DUMMYFUNCTION("""COMPUTED_VALUE"""),"")</f>
        <v/>
      </c>
      <c r="G463" s="29" t="str">
        <f ca="1">IFERROR(__xludf.DUMMYFUNCTION("""COMPUTED_VALUE"""),"")</f>
        <v/>
      </c>
      <c r="H463" s="30" t="str">
        <f ca="1">IFERROR(__xludf.DUMMYFUNCTION("""COMPUTED_VALUE"""),"")</f>
        <v/>
      </c>
      <c r="I463" s="29" t="str">
        <f ca="1">IFERROR(__xludf.DUMMYFUNCTION("""COMPUTED_VALUE"""),"")</f>
        <v/>
      </c>
      <c r="J463" s="29" t="str">
        <f ca="1">IFERROR(__xludf.DUMMYFUNCTION("""COMPUTED_VALUE"""),"")</f>
        <v/>
      </c>
      <c r="K463" s="29" t="str">
        <f ca="1">IFERROR(__xludf.DUMMYFUNCTION("""COMPUTED_VALUE"""),"")</f>
        <v/>
      </c>
      <c r="L463" s="29" t="str">
        <f ca="1">IFERROR(__xludf.DUMMYFUNCTION("""COMPUTED_VALUE"""),"")</f>
        <v/>
      </c>
      <c r="M463" s="29" t="str">
        <f ca="1">IFERROR(__xludf.DUMMYFUNCTION("""COMPUTED_VALUE"""),"")</f>
        <v/>
      </c>
      <c r="N463" s="29" t="str">
        <f ca="1">IFERROR(__xludf.DUMMYFUNCTION("""COMPUTED_VALUE"""),"")</f>
        <v/>
      </c>
    </row>
    <row r="464" spans="2:14" ht="12.5">
      <c r="B464" s="2"/>
      <c r="C464" s="2" t="str">
        <f ca="1">IFERROR(__xludf.DUMMYFUNCTION("""COMPUTED_VALUE"""),"")</f>
        <v/>
      </c>
      <c r="D464" s="2" t="str">
        <f ca="1">IFERROR(__xludf.DUMMYFUNCTION("""COMPUTED_VALUE"""),"")</f>
        <v/>
      </c>
      <c r="E464" s="29" t="str">
        <f ca="1">IFERROR(__xludf.DUMMYFUNCTION("""COMPUTED_VALUE"""),"")</f>
        <v/>
      </c>
      <c r="F464" s="30" t="str">
        <f ca="1">IFERROR(__xludf.DUMMYFUNCTION("""COMPUTED_VALUE"""),"")</f>
        <v/>
      </c>
      <c r="G464" s="29" t="str">
        <f ca="1">IFERROR(__xludf.DUMMYFUNCTION("""COMPUTED_VALUE"""),"")</f>
        <v/>
      </c>
      <c r="H464" s="30" t="str">
        <f ca="1">IFERROR(__xludf.DUMMYFUNCTION("""COMPUTED_VALUE"""),"")</f>
        <v/>
      </c>
      <c r="I464" s="29" t="str">
        <f ca="1">IFERROR(__xludf.DUMMYFUNCTION("""COMPUTED_VALUE"""),"")</f>
        <v/>
      </c>
      <c r="J464" s="29" t="str">
        <f ca="1">IFERROR(__xludf.DUMMYFUNCTION("""COMPUTED_VALUE"""),"")</f>
        <v/>
      </c>
      <c r="K464" s="29" t="str">
        <f ca="1">IFERROR(__xludf.DUMMYFUNCTION("""COMPUTED_VALUE"""),"")</f>
        <v/>
      </c>
      <c r="L464" s="29" t="str">
        <f ca="1">IFERROR(__xludf.DUMMYFUNCTION("""COMPUTED_VALUE"""),"")</f>
        <v/>
      </c>
      <c r="M464" s="29" t="str">
        <f ca="1">IFERROR(__xludf.DUMMYFUNCTION("""COMPUTED_VALUE"""),"")</f>
        <v/>
      </c>
      <c r="N464" s="29" t="str">
        <f ca="1">IFERROR(__xludf.DUMMYFUNCTION("""COMPUTED_VALUE"""),"")</f>
        <v/>
      </c>
    </row>
    <row r="465" spans="2:14" ht="12.5">
      <c r="B465" s="2"/>
      <c r="C465" s="2" t="str">
        <f ca="1">IFERROR(__xludf.DUMMYFUNCTION("""COMPUTED_VALUE"""),"")</f>
        <v/>
      </c>
      <c r="D465" s="2" t="str">
        <f ca="1">IFERROR(__xludf.DUMMYFUNCTION("""COMPUTED_VALUE"""),"")</f>
        <v/>
      </c>
      <c r="E465" s="29" t="str">
        <f ca="1">IFERROR(__xludf.DUMMYFUNCTION("""COMPUTED_VALUE"""),"")</f>
        <v/>
      </c>
      <c r="F465" s="30" t="str">
        <f ca="1">IFERROR(__xludf.DUMMYFUNCTION("""COMPUTED_VALUE"""),"")</f>
        <v/>
      </c>
      <c r="G465" s="29" t="str">
        <f ca="1">IFERROR(__xludf.DUMMYFUNCTION("""COMPUTED_VALUE"""),"")</f>
        <v/>
      </c>
      <c r="H465" s="30" t="str">
        <f ca="1">IFERROR(__xludf.DUMMYFUNCTION("""COMPUTED_VALUE"""),"")</f>
        <v/>
      </c>
      <c r="I465" s="29" t="str">
        <f ca="1">IFERROR(__xludf.DUMMYFUNCTION("""COMPUTED_VALUE"""),"")</f>
        <v/>
      </c>
      <c r="J465" s="29" t="str">
        <f ca="1">IFERROR(__xludf.DUMMYFUNCTION("""COMPUTED_VALUE"""),"")</f>
        <v/>
      </c>
      <c r="K465" s="29" t="str">
        <f ca="1">IFERROR(__xludf.DUMMYFUNCTION("""COMPUTED_VALUE"""),"")</f>
        <v/>
      </c>
      <c r="L465" s="29" t="str">
        <f ca="1">IFERROR(__xludf.DUMMYFUNCTION("""COMPUTED_VALUE"""),"")</f>
        <v/>
      </c>
      <c r="M465" s="29" t="str">
        <f ca="1">IFERROR(__xludf.DUMMYFUNCTION("""COMPUTED_VALUE"""),"")</f>
        <v/>
      </c>
      <c r="N465" s="29" t="str">
        <f ca="1">IFERROR(__xludf.DUMMYFUNCTION("""COMPUTED_VALUE"""),"")</f>
        <v/>
      </c>
    </row>
    <row r="466" spans="2:14" ht="12.5">
      <c r="B466" s="2"/>
      <c r="C466" s="2" t="str">
        <f ca="1">IFERROR(__xludf.DUMMYFUNCTION("""COMPUTED_VALUE"""),"")</f>
        <v/>
      </c>
      <c r="D466" s="2" t="str">
        <f ca="1">IFERROR(__xludf.DUMMYFUNCTION("""COMPUTED_VALUE"""),"")</f>
        <v/>
      </c>
      <c r="E466" s="29" t="str">
        <f ca="1">IFERROR(__xludf.DUMMYFUNCTION("""COMPUTED_VALUE"""),"")</f>
        <v/>
      </c>
      <c r="F466" s="30" t="str">
        <f ca="1">IFERROR(__xludf.DUMMYFUNCTION("""COMPUTED_VALUE"""),"")</f>
        <v/>
      </c>
      <c r="G466" s="29" t="str">
        <f ca="1">IFERROR(__xludf.DUMMYFUNCTION("""COMPUTED_VALUE"""),"")</f>
        <v/>
      </c>
      <c r="H466" s="30" t="str">
        <f ca="1">IFERROR(__xludf.DUMMYFUNCTION("""COMPUTED_VALUE"""),"")</f>
        <v/>
      </c>
      <c r="I466" s="29" t="str">
        <f ca="1">IFERROR(__xludf.DUMMYFUNCTION("""COMPUTED_VALUE"""),"")</f>
        <v/>
      </c>
      <c r="J466" s="29" t="str">
        <f ca="1">IFERROR(__xludf.DUMMYFUNCTION("""COMPUTED_VALUE"""),"")</f>
        <v/>
      </c>
      <c r="K466" s="29" t="str">
        <f ca="1">IFERROR(__xludf.DUMMYFUNCTION("""COMPUTED_VALUE"""),"")</f>
        <v/>
      </c>
      <c r="L466" s="29" t="str">
        <f ca="1">IFERROR(__xludf.DUMMYFUNCTION("""COMPUTED_VALUE"""),"")</f>
        <v/>
      </c>
      <c r="M466" s="29" t="str">
        <f ca="1">IFERROR(__xludf.DUMMYFUNCTION("""COMPUTED_VALUE"""),"")</f>
        <v/>
      </c>
      <c r="N466" s="29" t="str">
        <f ca="1">IFERROR(__xludf.DUMMYFUNCTION("""COMPUTED_VALUE"""),"")</f>
        <v/>
      </c>
    </row>
    <row r="467" spans="2:14" ht="12.5">
      <c r="B467" s="2"/>
      <c r="C467" s="2" t="str">
        <f ca="1">IFERROR(__xludf.DUMMYFUNCTION("""COMPUTED_VALUE"""),"")</f>
        <v/>
      </c>
      <c r="D467" s="2" t="str">
        <f ca="1">IFERROR(__xludf.DUMMYFUNCTION("""COMPUTED_VALUE"""),"")</f>
        <v/>
      </c>
      <c r="E467" s="29" t="str">
        <f ca="1">IFERROR(__xludf.DUMMYFUNCTION("""COMPUTED_VALUE"""),"")</f>
        <v/>
      </c>
      <c r="F467" s="30" t="str">
        <f ca="1">IFERROR(__xludf.DUMMYFUNCTION("""COMPUTED_VALUE"""),"")</f>
        <v/>
      </c>
      <c r="G467" s="29" t="str">
        <f ca="1">IFERROR(__xludf.DUMMYFUNCTION("""COMPUTED_VALUE"""),"")</f>
        <v/>
      </c>
      <c r="H467" s="30" t="str">
        <f ca="1">IFERROR(__xludf.DUMMYFUNCTION("""COMPUTED_VALUE"""),"")</f>
        <v/>
      </c>
      <c r="I467" s="29" t="str">
        <f ca="1">IFERROR(__xludf.DUMMYFUNCTION("""COMPUTED_VALUE"""),"")</f>
        <v/>
      </c>
      <c r="J467" s="29" t="str">
        <f ca="1">IFERROR(__xludf.DUMMYFUNCTION("""COMPUTED_VALUE"""),"")</f>
        <v/>
      </c>
      <c r="K467" s="29" t="str">
        <f ca="1">IFERROR(__xludf.DUMMYFUNCTION("""COMPUTED_VALUE"""),"")</f>
        <v/>
      </c>
      <c r="L467" s="29" t="str">
        <f ca="1">IFERROR(__xludf.DUMMYFUNCTION("""COMPUTED_VALUE"""),"")</f>
        <v/>
      </c>
      <c r="M467" s="29" t="str">
        <f ca="1">IFERROR(__xludf.DUMMYFUNCTION("""COMPUTED_VALUE"""),"")</f>
        <v/>
      </c>
      <c r="N467" s="29" t="str">
        <f ca="1">IFERROR(__xludf.DUMMYFUNCTION("""COMPUTED_VALUE"""),"")</f>
        <v/>
      </c>
    </row>
    <row r="468" spans="2:14" ht="12.5">
      <c r="B468" s="2"/>
      <c r="C468" s="2" t="str">
        <f ca="1">IFERROR(__xludf.DUMMYFUNCTION("""COMPUTED_VALUE"""),"")</f>
        <v/>
      </c>
      <c r="D468" s="2" t="str">
        <f ca="1">IFERROR(__xludf.DUMMYFUNCTION("""COMPUTED_VALUE"""),"")</f>
        <v/>
      </c>
      <c r="E468" s="29" t="str">
        <f ca="1">IFERROR(__xludf.DUMMYFUNCTION("""COMPUTED_VALUE"""),"")</f>
        <v/>
      </c>
      <c r="F468" s="30" t="str">
        <f ca="1">IFERROR(__xludf.DUMMYFUNCTION("""COMPUTED_VALUE"""),"")</f>
        <v/>
      </c>
      <c r="G468" s="29" t="str">
        <f ca="1">IFERROR(__xludf.DUMMYFUNCTION("""COMPUTED_VALUE"""),"")</f>
        <v/>
      </c>
      <c r="H468" s="30" t="str">
        <f ca="1">IFERROR(__xludf.DUMMYFUNCTION("""COMPUTED_VALUE"""),"")</f>
        <v/>
      </c>
      <c r="I468" s="29" t="str">
        <f ca="1">IFERROR(__xludf.DUMMYFUNCTION("""COMPUTED_VALUE"""),"")</f>
        <v/>
      </c>
      <c r="J468" s="29" t="str">
        <f ca="1">IFERROR(__xludf.DUMMYFUNCTION("""COMPUTED_VALUE"""),"")</f>
        <v/>
      </c>
      <c r="K468" s="29" t="str">
        <f ca="1">IFERROR(__xludf.DUMMYFUNCTION("""COMPUTED_VALUE"""),"")</f>
        <v/>
      </c>
      <c r="L468" s="29" t="str">
        <f ca="1">IFERROR(__xludf.DUMMYFUNCTION("""COMPUTED_VALUE"""),"")</f>
        <v/>
      </c>
      <c r="M468" s="29" t="str">
        <f ca="1">IFERROR(__xludf.DUMMYFUNCTION("""COMPUTED_VALUE"""),"")</f>
        <v/>
      </c>
      <c r="N468" s="29" t="str">
        <f ca="1">IFERROR(__xludf.DUMMYFUNCTION("""COMPUTED_VALUE"""),"")</f>
        <v/>
      </c>
    </row>
    <row r="469" spans="2:14" ht="12.5">
      <c r="B469" s="2"/>
      <c r="C469" s="2" t="str">
        <f ca="1">IFERROR(__xludf.DUMMYFUNCTION("""COMPUTED_VALUE"""),"")</f>
        <v/>
      </c>
      <c r="D469" s="2" t="str">
        <f ca="1">IFERROR(__xludf.DUMMYFUNCTION("""COMPUTED_VALUE"""),"")</f>
        <v/>
      </c>
      <c r="E469" s="29" t="str">
        <f ca="1">IFERROR(__xludf.DUMMYFUNCTION("""COMPUTED_VALUE"""),"")</f>
        <v/>
      </c>
      <c r="F469" s="30" t="str">
        <f ca="1">IFERROR(__xludf.DUMMYFUNCTION("""COMPUTED_VALUE"""),"")</f>
        <v/>
      </c>
      <c r="G469" s="29" t="str">
        <f ca="1">IFERROR(__xludf.DUMMYFUNCTION("""COMPUTED_VALUE"""),"")</f>
        <v/>
      </c>
      <c r="H469" s="30" t="str">
        <f ca="1">IFERROR(__xludf.DUMMYFUNCTION("""COMPUTED_VALUE"""),"")</f>
        <v/>
      </c>
      <c r="I469" s="29" t="str">
        <f ca="1">IFERROR(__xludf.DUMMYFUNCTION("""COMPUTED_VALUE"""),"")</f>
        <v/>
      </c>
      <c r="J469" s="29" t="str">
        <f ca="1">IFERROR(__xludf.DUMMYFUNCTION("""COMPUTED_VALUE"""),"")</f>
        <v/>
      </c>
      <c r="K469" s="29" t="str">
        <f ca="1">IFERROR(__xludf.DUMMYFUNCTION("""COMPUTED_VALUE"""),"")</f>
        <v/>
      </c>
      <c r="L469" s="29" t="str">
        <f ca="1">IFERROR(__xludf.DUMMYFUNCTION("""COMPUTED_VALUE"""),"")</f>
        <v/>
      </c>
      <c r="M469" s="29" t="str">
        <f ca="1">IFERROR(__xludf.DUMMYFUNCTION("""COMPUTED_VALUE"""),"")</f>
        <v/>
      </c>
      <c r="N469" s="29" t="str">
        <f ca="1">IFERROR(__xludf.DUMMYFUNCTION("""COMPUTED_VALUE"""),"")</f>
        <v/>
      </c>
    </row>
    <row r="470" spans="2:14" ht="12.5">
      <c r="B470" s="2"/>
      <c r="C470" s="2" t="str">
        <f ca="1">IFERROR(__xludf.DUMMYFUNCTION("""COMPUTED_VALUE"""),"")</f>
        <v/>
      </c>
      <c r="D470" s="2" t="str">
        <f ca="1">IFERROR(__xludf.DUMMYFUNCTION("""COMPUTED_VALUE"""),"")</f>
        <v/>
      </c>
      <c r="E470" s="29" t="str">
        <f ca="1">IFERROR(__xludf.DUMMYFUNCTION("""COMPUTED_VALUE"""),"")</f>
        <v/>
      </c>
      <c r="F470" s="30" t="str">
        <f ca="1">IFERROR(__xludf.DUMMYFUNCTION("""COMPUTED_VALUE"""),"")</f>
        <v/>
      </c>
      <c r="G470" s="29" t="str">
        <f ca="1">IFERROR(__xludf.DUMMYFUNCTION("""COMPUTED_VALUE"""),"")</f>
        <v/>
      </c>
      <c r="H470" s="30" t="str">
        <f ca="1">IFERROR(__xludf.DUMMYFUNCTION("""COMPUTED_VALUE"""),"")</f>
        <v/>
      </c>
      <c r="I470" s="29" t="str">
        <f ca="1">IFERROR(__xludf.DUMMYFUNCTION("""COMPUTED_VALUE"""),"")</f>
        <v/>
      </c>
      <c r="J470" s="29" t="str">
        <f ca="1">IFERROR(__xludf.DUMMYFUNCTION("""COMPUTED_VALUE"""),"")</f>
        <v/>
      </c>
      <c r="K470" s="29" t="str">
        <f ca="1">IFERROR(__xludf.DUMMYFUNCTION("""COMPUTED_VALUE"""),"")</f>
        <v/>
      </c>
      <c r="L470" s="29" t="str">
        <f ca="1">IFERROR(__xludf.DUMMYFUNCTION("""COMPUTED_VALUE"""),"")</f>
        <v/>
      </c>
      <c r="M470" s="29" t="str">
        <f ca="1">IFERROR(__xludf.DUMMYFUNCTION("""COMPUTED_VALUE"""),"")</f>
        <v/>
      </c>
      <c r="N470" s="29" t="str">
        <f ca="1">IFERROR(__xludf.DUMMYFUNCTION("""COMPUTED_VALUE"""),"")</f>
        <v/>
      </c>
    </row>
    <row r="471" spans="2:14" ht="12.5">
      <c r="B471" s="2"/>
      <c r="C471" s="2" t="str">
        <f ca="1">IFERROR(__xludf.DUMMYFUNCTION("""COMPUTED_VALUE"""),"")</f>
        <v/>
      </c>
      <c r="D471" s="2" t="str">
        <f ca="1">IFERROR(__xludf.DUMMYFUNCTION("""COMPUTED_VALUE"""),"")</f>
        <v/>
      </c>
      <c r="E471" s="29" t="str">
        <f ca="1">IFERROR(__xludf.DUMMYFUNCTION("""COMPUTED_VALUE"""),"")</f>
        <v/>
      </c>
      <c r="F471" s="30" t="str">
        <f ca="1">IFERROR(__xludf.DUMMYFUNCTION("""COMPUTED_VALUE"""),"")</f>
        <v/>
      </c>
      <c r="G471" s="29" t="str">
        <f ca="1">IFERROR(__xludf.DUMMYFUNCTION("""COMPUTED_VALUE"""),"")</f>
        <v/>
      </c>
      <c r="H471" s="30" t="str">
        <f ca="1">IFERROR(__xludf.DUMMYFUNCTION("""COMPUTED_VALUE"""),"")</f>
        <v/>
      </c>
      <c r="I471" s="29" t="str">
        <f ca="1">IFERROR(__xludf.DUMMYFUNCTION("""COMPUTED_VALUE"""),"")</f>
        <v/>
      </c>
      <c r="J471" s="29" t="str">
        <f ca="1">IFERROR(__xludf.DUMMYFUNCTION("""COMPUTED_VALUE"""),"")</f>
        <v/>
      </c>
      <c r="K471" s="29" t="str">
        <f ca="1">IFERROR(__xludf.DUMMYFUNCTION("""COMPUTED_VALUE"""),"")</f>
        <v/>
      </c>
      <c r="L471" s="29" t="str">
        <f ca="1">IFERROR(__xludf.DUMMYFUNCTION("""COMPUTED_VALUE"""),"")</f>
        <v/>
      </c>
      <c r="M471" s="29" t="str">
        <f ca="1">IFERROR(__xludf.DUMMYFUNCTION("""COMPUTED_VALUE"""),"")</f>
        <v/>
      </c>
      <c r="N471" s="29" t="str">
        <f ca="1">IFERROR(__xludf.DUMMYFUNCTION("""COMPUTED_VALUE"""),"")</f>
        <v/>
      </c>
    </row>
    <row r="472" spans="2:14" ht="12.5">
      <c r="B472" s="2"/>
      <c r="C472" s="2" t="str">
        <f ca="1">IFERROR(__xludf.DUMMYFUNCTION("""COMPUTED_VALUE"""),"")</f>
        <v/>
      </c>
      <c r="D472" s="2" t="str">
        <f ca="1">IFERROR(__xludf.DUMMYFUNCTION("""COMPUTED_VALUE"""),"")</f>
        <v/>
      </c>
      <c r="E472" s="29" t="str">
        <f ca="1">IFERROR(__xludf.DUMMYFUNCTION("""COMPUTED_VALUE"""),"")</f>
        <v/>
      </c>
      <c r="F472" s="30" t="str">
        <f ca="1">IFERROR(__xludf.DUMMYFUNCTION("""COMPUTED_VALUE"""),"")</f>
        <v/>
      </c>
      <c r="G472" s="29" t="str">
        <f ca="1">IFERROR(__xludf.DUMMYFUNCTION("""COMPUTED_VALUE"""),"")</f>
        <v/>
      </c>
      <c r="H472" s="30" t="str">
        <f ca="1">IFERROR(__xludf.DUMMYFUNCTION("""COMPUTED_VALUE"""),"")</f>
        <v/>
      </c>
      <c r="I472" s="29" t="str">
        <f ca="1">IFERROR(__xludf.DUMMYFUNCTION("""COMPUTED_VALUE"""),"")</f>
        <v/>
      </c>
      <c r="J472" s="29" t="str">
        <f ca="1">IFERROR(__xludf.DUMMYFUNCTION("""COMPUTED_VALUE"""),"")</f>
        <v/>
      </c>
      <c r="K472" s="29" t="str">
        <f ca="1">IFERROR(__xludf.DUMMYFUNCTION("""COMPUTED_VALUE"""),"")</f>
        <v/>
      </c>
      <c r="L472" s="29" t="str">
        <f ca="1">IFERROR(__xludf.DUMMYFUNCTION("""COMPUTED_VALUE"""),"")</f>
        <v/>
      </c>
      <c r="M472" s="29" t="str">
        <f ca="1">IFERROR(__xludf.DUMMYFUNCTION("""COMPUTED_VALUE"""),"")</f>
        <v/>
      </c>
      <c r="N472" s="29" t="str">
        <f ca="1">IFERROR(__xludf.DUMMYFUNCTION("""COMPUTED_VALUE"""),"")</f>
        <v/>
      </c>
    </row>
    <row r="473" spans="2:14" ht="12.5">
      <c r="B473" s="2"/>
      <c r="C473" s="2" t="str">
        <f ca="1">IFERROR(__xludf.DUMMYFUNCTION("""COMPUTED_VALUE"""),"")</f>
        <v/>
      </c>
      <c r="D473" s="2" t="str">
        <f ca="1">IFERROR(__xludf.DUMMYFUNCTION("""COMPUTED_VALUE"""),"")</f>
        <v/>
      </c>
      <c r="E473" s="29" t="str">
        <f ca="1">IFERROR(__xludf.DUMMYFUNCTION("""COMPUTED_VALUE"""),"")</f>
        <v/>
      </c>
      <c r="F473" s="30" t="str">
        <f ca="1">IFERROR(__xludf.DUMMYFUNCTION("""COMPUTED_VALUE"""),"")</f>
        <v/>
      </c>
      <c r="G473" s="29" t="str">
        <f ca="1">IFERROR(__xludf.DUMMYFUNCTION("""COMPUTED_VALUE"""),"")</f>
        <v/>
      </c>
      <c r="H473" s="30" t="str">
        <f ca="1">IFERROR(__xludf.DUMMYFUNCTION("""COMPUTED_VALUE"""),"")</f>
        <v/>
      </c>
      <c r="I473" s="29" t="str">
        <f ca="1">IFERROR(__xludf.DUMMYFUNCTION("""COMPUTED_VALUE"""),"")</f>
        <v/>
      </c>
      <c r="J473" s="29" t="str">
        <f ca="1">IFERROR(__xludf.DUMMYFUNCTION("""COMPUTED_VALUE"""),"")</f>
        <v/>
      </c>
      <c r="K473" s="29" t="str">
        <f ca="1">IFERROR(__xludf.DUMMYFUNCTION("""COMPUTED_VALUE"""),"")</f>
        <v/>
      </c>
      <c r="L473" s="29" t="str">
        <f ca="1">IFERROR(__xludf.DUMMYFUNCTION("""COMPUTED_VALUE"""),"")</f>
        <v/>
      </c>
      <c r="M473" s="29" t="str">
        <f ca="1">IFERROR(__xludf.DUMMYFUNCTION("""COMPUTED_VALUE"""),"")</f>
        <v/>
      </c>
      <c r="N473" s="29" t="str">
        <f ca="1">IFERROR(__xludf.DUMMYFUNCTION("""COMPUTED_VALUE"""),"")</f>
        <v/>
      </c>
    </row>
    <row r="474" spans="2:14" ht="12.5">
      <c r="B474" s="2"/>
      <c r="C474" s="2" t="str">
        <f ca="1">IFERROR(__xludf.DUMMYFUNCTION("""COMPUTED_VALUE"""),"")</f>
        <v/>
      </c>
      <c r="D474" s="2" t="str">
        <f ca="1">IFERROR(__xludf.DUMMYFUNCTION("""COMPUTED_VALUE"""),"")</f>
        <v/>
      </c>
      <c r="E474" s="29" t="str">
        <f ca="1">IFERROR(__xludf.DUMMYFUNCTION("""COMPUTED_VALUE"""),"")</f>
        <v/>
      </c>
      <c r="F474" s="30" t="str">
        <f ca="1">IFERROR(__xludf.DUMMYFUNCTION("""COMPUTED_VALUE"""),"")</f>
        <v/>
      </c>
      <c r="G474" s="29" t="str">
        <f ca="1">IFERROR(__xludf.DUMMYFUNCTION("""COMPUTED_VALUE"""),"")</f>
        <v/>
      </c>
      <c r="H474" s="30" t="str">
        <f ca="1">IFERROR(__xludf.DUMMYFUNCTION("""COMPUTED_VALUE"""),"")</f>
        <v/>
      </c>
      <c r="I474" s="29" t="str">
        <f ca="1">IFERROR(__xludf.DUMMYFUNCTION("""COMPUTED_VALUE"""),"")</f>
        <v/>
      </c>
      <c r="J474" s="29" t="str">
        <f ca="1">IFERROR(__xludf.DUMMYFUNCTION("""COMPUTED_VALUE"""),"")</f>
        <v/>
      </c>
      <c r="K474" s="29" t="str">
        <f ca="1">IFERROR(__xludf.DUMMYFUNCTION("""COMPUTED_VALUE"""),"")</f>
        <v/>
      </c>
      <c r="L474" s="29" t="str">
        <f ca="1">IFERROR(__xludf.DUMMYFUNCTION("""COMPUTED_VALUE"""),"")</f>
        <v/>
      </c>
      <c r="M474" s="29" t="str">
        <f ca="1">IFERROR(__xludf.DUMMYFUNCTION("""COMPUTED_VALUE"""),"")</f>
        <v/>
      </c>
      <c r="N474" s="29" t="str">
        <f ca="1">IFERROR(__xludf.DUMMYFUNCTION("""COMPUTED_VALUE"""),"")</f>
        <v/>
      </c>
    </row>
    <row r="475" spans="2:14" ht="12.5">
      <c r="B475" s="2"/>
      <c r="C475" s="2" t="str">
        <f ca="1">IFERROR(__xludf.DUMMYFUNCTION("""COMPUTED_VALUE"""),"")</f>
        <v/>
      </c>
      <c r="D475" s="2" t="str">
        <f ca="1">IFERROR(__xludf.DUMMYFUNCTION("""COMPUTED_VALUE"""),"")</f>
        <v/>
      </c>
      <c r="E475" s="29" t="str">
        <f ca="1">IFERROR(__xludf.DUMMYFUNCTION("""COMPUTED_VALUE"""),"")</f>
        <v/>
      </c>
      <c r="F475" s="30" t="str">
        <f ca="1">IFERROR(__xludf.DUMMYFUNCTION("""COMPUTED_VALUE"""),"")</f>
        <v/>
      </c>
      <c r="G475" s="29" t="str">
        <f ca="1">IFERROR(__xludf.DUMMYFUNCTION("""COMPUTED_VALUE"""),"")</f>
        <v/>
      </c>
      <c r="H475" s="30" t="str">
        <f ca="1">IFERROR(__xludf.DUMMYFUNCTION("""COMPUTED_VALUE"""),"")</f>
        <v/>
      </c>
      <c r="I475" s="29" t="str">
        <f ca="1">IFERROR(__xludf.DUMMYFUNCTION("""COMPUTED_VALUE"""),"")</f>
        <v/>
      </c>
      <c r="J475" s="29" t="str">
        <f ca="1">IFERROR(__xludf.DUMMYFUNCTION("""COMPUTED_VALUE"""),"")</f>
        <v/>
      </c>
      <c r="K475" s="29" t="str">
        <f ca="1">IFERROR(__xludf.DUMMYFUNCTION("""COMPUTED_VALUE"""),"")</f>
        <v/>
      </c>
      <c r="L475" s="29" t="str">
        <f ca="1">IFERROR(__xludf.DUMMYFUNCTION("""COMPUTED_VALUE"""),"")</f>
        <v/>
      </c>
      <c r="M475" s="29" t="str">
        <f ca="1">IFERROR(__xludf.DUMMYFUNCTION("""COMPUTED_VALUE"""),"")</f>
        <v/>
      </c>
      <c r="N475" s="29" t="str">
        <f ca="1">IFERROR(__xludf.DUMMYFUNCTION("""COMPUTED_VALUE"""),"")</f>
        <v/>
      </c>
    </row>
    <row r="476" spans="2:14" ht="12.5">
      <c r="B476" s="2"/>
      <c r="C476" s="2" t="str">
        <f ca="1">IFERROR(__xludf.DUMMYFUNCTION("""COMPUTED_VALUE"""),"")</f>
        <v/>
      </c>
      <c r="D476" s="2" t="str">
        <f ca="1">IFERROR(__xludf.DUMMYFUNCTION("""COMPUTED_VALUE"""),"")</f>
        <v/>
      </c>
      <c r="E476" s="29" t="str">
        <f ca="1">IFERROR(__xludf.DUMMYFUNCTION("""COMPUTED_VALUE"""),"")</f>
        <v/>
      </c>
      <c r="F476" s="30" t="str">
        <f ca="1">IFERROR(__xludf.DUMMYFUNCTION("""COMPUTED_VALUE"""),"")</f>
        <v/>
      </c>
      <c r="G476" s="29" t="str">
        <f ca="1">IFERROR(__xludf.DUMMYFUNCTION("""COMPUTED_VALUE"""),"")</f>
        <v/>
      </c>
      <c r="H476" s="30" t="str">
        <f ca="1">IFERROR(__xludf.DUMMYFUNCTION("""COMPUTED_VALUE"""),"")</f>
        <v/>
      </c>
      <c r="I476" s="29" t="str">
        <f ca="1">IFERROR(__xludf.DUMMYFUNCTION("""COMPUTED_VALUE"""),"")</f>
        <v/>
      </c>
      <c r="J476" s="29" t="str">
        <f ca="1">IFERROR(__xludf.DUMMYFUNCTION("""COMPUTED_VALUE"""),"")</f>
        <v/>
      </c>
      <c r="K476" s="29" t="str">
        <f ca="1">IFERROR(__xludf.DUMMYFUNCTION("""COMPUTED_VALUE"""),"")</f>
        <v/>
      </c>
      <c r="L476" s="29" t="str">
        <f ca="1">IFERROR(__xludf.DUMMYFUNCTION("""COMPUTED_VALUE"""),"")</f>
        <v/>
      </c>
      <c r="M476" s="29" t="str">
        <f ca="1">IFERROR(__xludf.DUMMYFUNCTION("""COMPUTED_VALUE"""),"")</f>
        <v/>
      </c>
      <c r="N476" s="29" t="str">
        <f ca="1">IFERROR(__xludf.DUMMYFUNCTION("""COMPUTED_VALUE"""),"")</f>
        <v/>
      </c>
    </row>
    <row r="477" spans="2:14" ht="12.5">
      <c r="B477" s="2"/>
      <c r="C477" s="2" t="str">
        <f ca="1">IFERROR(__xludf.DUMMYFUNCTION("""COMPUTED_VALUE"""),"")</f>
        <v/>
      </c>
      <c r="D477" s="2" t="str">
        <f ca="1">IFERROR(__xludf.DUMMYFUNCTION("""COMPUTED_VALUE"""),"")</f>
        <v/>
      </c>
      <c r="E477" s="29" t="str">
        <f ca="1">IFERROR(__xludf.DUMMYFUNCTION("""COMPUTED_VALUE"""),"")</f>
        <v/>
      </c>
      <c r="F477" s="30" t="str">
        <f ca="1">IFERROR(__xludf.DUMMYFUNCTION("""COMPUTED_VALUE"""),"")</f>
        <v/>
      </c>
      <c r="G477" s="29" t="str">
        <f ca="1">IFERROR(__xludf.DUMMYFUNCTION("""COMPUTED_VALUE"""),"")</f>
        <v/>
      </c>
      <c r="H477" s="30" t="str">
        <f ca="1">IFERROR(__xludf.DUMMYFUNCTION("""COMPUTED_VALUE"""),"")</f>
        <v/>
      </c>
      <c r="I477" s="29" t="str">
        <f ca="1">IFERROR(__xludf.DUMMYFUNCTION("""COMPUTED_VALUE"""),"")</f>
        <v/>
      </c>
      <c r="J477" s="29" t="str">
        <f ca="1">IFERROR(__xludf.DUMMYFUNCTION("""COMPUTED_VALUE"""),"")</f>
        <v/>
      </c>
      <c r="K477" s="29" t="str">
        <f ca="1">IFERROR(__xludf.DUMMYFUNCTION("""COMPUTED_VALUE"""),"")</f>
        <v/>
      </c>
      <c r="L477" s="29" t="str">
        <f ca="1">IFERROR(__xludf.DUMMYFUNCTION("""COMPUTED_VALUE"""),"")</f>
        <v/>
      </c>
      <c r="M477" s="29" t="str">
        <f ca="1">IFERROR(__xludf.DUMMYFUNCTION("""COMPUTED_VALUE"""),"")</f>
        <v/>
      </c>
      <c r="N477" s="29" t="str">
        <f ca="1">IFERROR(__xludf.DUMMYFUNCTION("""COMPUTED_VALUE"""),"")</f>
        <v/>
      </c>
    </row>
    <row r="478" spans="2:14" ht="12.5">
      <c r="B478" s="2"/>
      <c r="C478" s="2" t="str">
        <f ca="1">IFERROR(__xludf.DUMMYFUNCTION("""COMPUTED_VALUE"""),"")</f>
        <v/>
      </c>
      <c r="D478" s="2" t="str">
        <f ca="1">IFERROR(__xludf.DUMMYFUNCTION("""COMPUTED_VALUE"""),"")</f>
        <v/>
      </c>
      <c r="E478" s="29" t="str">
        <f ca="1">IFERROR(__xludf.DUMMYFUNCTION("""COMPUTED_VALUE"""),"")</f>
        <v/>
      </c>
      <c r="F478" s="30" t="str">
        <f ca="1">IFERROR(__xludf.DUMMYFUNCTION("""COMPUTED_VALUE"""),"")</f>
        <v/>
      </c>
      <c r="G478" s="29" t="str">
        <f ca="1">IFERROR(__xludf.DUMMYFUNCTION("""COMPUTED_VALUE"""),"")</f>
        <v/>
      </c>
      <c r="H478" s="30" t="str">
        <f ca="1">IFERROR(__xludf.DUMMYFUNCTION("""COMPUTED_VALUE"""),"")</f>
        <v/>
      </c>
      <c r="I478" s="29" t="str">
        <f ca="1">IFERROR(__xludf.DUMMYFUNCTION("""COMPUTED_VALUE"""),"")</f>
        <v/>
      </c>
      <c r="J478" s="29" t="str">
        <f ca="1">IFERROR(__xludf.DUMMYFUNCTION("""COMPUTED_VALUE"""),"")</f>
        <v/>
      </c>
      <c r="K478" s="29" t="str">
        <f ca="1">IFERROR(__xludf.DUMMYFUNCTION("""COMPUTED_VALUE"""),"")</f>
        <v/>
      </c>
      <c r="L478" s="29" t="str">
        <f ca="1">IFERROR(__xludf.DUMMYFUNCTION("""COMPUTED_VALUE"""),"")</f>
        <v/>
      </c>
      <c r="M478" s="29" t="str">
        <f ca="1">IFERROR(__xludf.DUMMYFUNCTION("""COMPUTED_VALUE"""),"")</f>
        <v/>
      </c>
      <c r="N478" s="29" t="str">
        <f ca="1">IFERROR(__xludf.DUMMYFUNCTION("""COMPUTED_VALUE"""),"")</f>
        <v/>
      </c>
    </row>
    <row r="479" spans="2:14" ht="12.5">
      <c r="B479" s="2"/>
      <c r="C479" s="2" t="str">
        <f ca="1">IFERROR(__xludf.DUMMYFUNCTION("""COMPUTED_VALUE"""),"")</f>
        <v/>
      </c>
      <c r="D479" s="2" t="str">
        <f ca="1">IFERROR(__xludf.DUMMYFUNCTION("""COMPUTED_VALUE"""),"")</f>
        <v/>
      </c>
      <c r="E479" s="29" t="str">
        <f ca="1">IFERROR(__xludf.DUMMYFUNCTION("""COMPUTED_VALUE"""),"")</f>
        <v/>
      </c>
      <c r="F479" s="30" t="str">
        <f ca="1">IFERROR(__xludf.DUMMYFUNCTION("""COMPUTED_VALUE"""),"")</f>
        <v/>
      </c>
      <c r="G479" s="29" t="str">
        <f ca="1">IFERROR(__xludf.DUMMYFUNCTION("""COMPUTED_VALUE"""),"")</f>
        <v/>
      </c>
      <c r="H479" s="30" t="str">
        <f ca="1">IFERROR(__xludf.DUMMYFUNCTION("""COMPUTED_VALUE"""),"")</f>
        <v/>
      </c>
      <c r="I479" s="29" t="str">
        <f ca="1">IFERROR(__xludf.DUMMYFUNCTION("""COMPUTED_VALUE"""),"")</f>
        <v/>
      </c>
      <c r="J479" s="29" t="str">
        <f ca="1">IFERROR(__xludf.DUMMYFUNCTION("""COMPUTED_VALUE"""),"")</f>
        <v/>
      </c>
      <c r="K479" s="29" t="str">
        <f ca="1">IFERROR(__xludf.DUMMYFUNCTION("""COMPUTED_VALUE"""),"")</f>
        <v/>
      </c>
      <c r="L479" s="29" t="str">
        <f ca="1">IFERROR(__xludf.DUMMYFUNCTION("""COMPUTED_VALUE"""),"")</f>
        <v/>
      </c>
      <c r="M479" s="29" t="str">
        <f ca="1">IFERROR(__xludf.DUMMYFUNCTION("""COMPUTED_VALUE"""),"")</f>
        <v/>
      </c>
      <c r="N479" s="29" t="str">
        <f ca="1">IFERROR(__xludf.DUMMYFUNCTION("""COMPUTED_VALUE"""),"")</f>
        <v/>
      </c>
    </row>
    <row r="480" spans="2:14" ht="12.5">
      <c r="B480" s="2"/>
      <c r="C480" s="2" t="str">
        <f ca="1">IFERROR(__xludf.DUMMYFUNCTION("""COMPUTED_VALUE"""),"")</f>
        <v/>
      </c>
      <c r="D480" s="2" t="str">
        <f ca="1">IFERROR(__xludf.DUMMYFUNCTION("""COMPUTED_VALUE"""),"")</f>
        <v/>
      </c>
      <c r="E480" s="29" t="str">
        <f ca="1">IFERROR(__xludf.DUMMYFUNCTION("""COMPUTED_VALUE"""),"")</f>
        <v/>
      </c>
      <c r="F480" s="30" t="str">
        <f ca="1">IFERROR(__xludf.DUMMYFUNCTION("""COMPUTED_VALUE"""),"")</f>
        <v/>
      </c>
      <c r="G480" s="29" t="str">
        <f ca="1">IFERROR(__xludf.DUMMYFUNCTION("""COMPUTED_VALUE"""),"")</f>
        <v/>
      </c>
      <c r="H480" s="30" t="str">
        <f ca="1">IFERROR(__xludf.DUMMYFUNCTION("""COMPUTED_VALUE"""),"")</f>
        <v/>
      </c>
      <c r="I480" s="29" t="str">
        <f ca="1">IFERROR(__xludf.DUMMYFUNCTION("""COMPUTED_VALUE"""),"")</f>
        <v/>
      </c>
      <c r="J480" s="29" t="str">
        <f ca="1">IFERROR(__xludf.DUMMYFUNCTION("""COMPUTED_VALUE"""),"")</f>
        <v/>
      </c>
      <c r="K480" s="29" t="str">
        <f ca="1">IFERROR(__xludf.DUMMYFUNCTION("""COMPUTED_VALUE"""),"")</f>
        <v/>
      </c>
      <c r="L480" s="29" t="str">
        <f ca="1">IFERROR(__xludf.DUMMYFUNCTION("""COMPUTED_VALUE"""),"")</f>
        <v/>
      </c>
      <c r="M480" s="29" t="str">
        <f ca="1">IFERROR(__xludf.DUMMYFUNCTION("""COMPUTED_VALUE"""),"")</f>
        <v/>
      </c>
      <c r="N480" s="29" t="str">
        <f ca="1">IFERROR(__xludf.DUMMYFUNCTION("""COMPUTED_VALUE"""),"")</f>
        <v/>
      </c>
    </row>
    <row r="481" spans="2:14" ht="12.5">
      <c r="B481" s="2"/>
      <c r="C481" s="2" t="str">
        <f ca="1">IFERROR(__xludf.DUMMYFUNCTION("""COMPUTED_VALUE"""),"")</f>
        <v/>
      </c>
      <c r="D481" s="2" t="str">
        <f ca="1">IFERROR(__xludf.DUMMYFUNCTION("""COMPUTED_VALUE"""),"")</f>
        <v/>
      </c>
      <c r="E481" s="29" t="str">
        <f ca="1">IFERROR(__xludf.DUMMYFUNCTION("""COMPUTED_VALUE"""),"")</f>
        <v/>
      </c>
      <c r="F481" s="30" t="str">
        <f ca="1">IFERROR(__xludf.DUMMYFUNCTION("""COMPUTED_VALUE"""),"")</f>
        <v/>
      </c>
      <c r="G481" s="29" t="str">
        <f ca="1">IFERROR(__xludf.DUMMYFUNCTION("""COMPUTED_VALUE"""),"")</f>
        <v/>
      </c>
      <c r="H481" s="30" t="str">
        <f ca="1">IFERROR(__xludf.DUMMYFUNCTION("""COMPUTED_VALUE"""),"")</f>
        <v/>
      </c>
      <c r="I481" s="29" t="str">
        <f ca="1">IFERROR(__xludf.DUMMYFUNCTION("""COMPUTED_VALUE"""),"")</f>
        <v/>
      </c>
      <c r="J481" s="29" t="str">
        <f ca="1">IFERROR(__xludf.DUMMYFUNCTION("""COMPUTED_VALUE"""),"")</f>
        <v/>
      </c>
      <c r="K481" s="29" t="str">
        <f ca="1">IFERROR(__xludf.DUMMYFUNCTION("""COMPUTED_VALUE"""),"")</f>
        <v/>
      </c>
      <c r="L481" s="29" t="str">
        <f ca="1">IFERROR(__xludf.DUMMYFUNCTION("""COMPUTED_VALUE"""),"")</f>
        <v/>
      </c>
      <c r="M481" s="29" t="str">
        <f ca="1">IFERROR(__xludf.DUMMYFUNCTION("""COMPUTED_VALUE"""),"")</f>
        <v/>
      </c>
      <c r="N481" s="29" t="str">
        <f ca="1">IFERROR(__xludf.DUMMYFUNCTION("""COMPUTED_VALUE"""),"")</f>
        <v/>
      </c>
    </row>
    <row r="482" spans="2:14" ht="12.5">
      <c r="B482" s="2"/>
      <c r="C482" s="2" t="str">
        <f ca="1">IFERROR(__xludf.DUMMYFUNCTION("""COMPUTED_VALUE"""),"")</f>
        <v/>
      </c>
      <c r="D482" s="2" t="str">
        <f ca="1">IFERROR(__xludf.DUMMYFUNCTION("""COMPUTED_VALUE"""),"")</f>
        <v/>
      </c>
      <c r="E482" s="29" t="str">
        <f ca="1">IFERROR(__xludf.DUMMYFUNCTION("""COMPUTED_VALUE"""),"")</f>
        <v/>
      </c>
      <c r="F482" s="30" t="str">
        <f ca="1">IFERROR(__xludf.DUMMYFUNCTION("""COMPUTED_VALUE"""),"")</f>
        <v/>
      </c>
      <c r="G482" s="29" t="str">
        <f ca="1">IFERROR(__xludf.DUMMYFUNCTION("""COMPUTED_VALUE"""),"")</f>
        <v/>
      </c>
      <c r="H482" s="30" t="str">
        <f ca="1">IFERROR(__xludf.DUMMYFUNCTION("""COMPUTED_VALUE"""),"")</f>
        <v/>
      </c>
      <c r="I482" s="29" t="str">
        <f ca="1">IFERROR(__xludf.DUMMYFUNCTION("""COMPUTED_VALUE"""),"")</f>
        <v/>
      </c>
      <c r="J482" s="29" t="str">
        <f ca="1">IFERROR(__xludf.DUMMYFUNCTION("""COMPUTED_VALUE"""),"")</f>
        <v/>
      </c>
      <c r="K482" s="29" t="str">
        <f ca="1">IFERROR(__xludf.DUMMYFUNCTION("""COMPUTED_VALUE"""),"")</f>
        <v/>
      </c>
      <c r="L482" s="29" t="str">
        <f ca="1">IFERROR(__xludf.DUMMYFUNCTION("""COMPUTED_VALUE"""),"")</f>
        <v/>
      </c>
      <c r="M482" s="29" t="str">
        <f ca="1">IFERROR(__xludf.DUMMYFUNCTION("""COMPUTED_VALUE"""),"")</f>
        <v/>
      </c>
      <c r="N482" s="29" t="str">
        <f ca="1">IFERROR(__xludf.DUMMYFUNCTION("""COMPUTED_VALUE"""),"")</f>
        <v/>
      </c>
    </row>
    <row r="483" spans="2:14" ht="12.5">
      <c r="B483" s="2"/>
      <c r="C483" s="2" t="str">
        <f ca="1">IFERROR(__xludf.DUMMYFUNCTION("""COMPUTED_VALUE"""),"")</f>
        <v/>
      </c>
      <c r="D483" s="2" t="str">
        <f ca="1">IFERROR(__xludf.DUMMYFUNCTION("""COMPUTED_VALUE"""),"")</f>
        <v/>
      </c>
      <c r="E483" s="29" t="str">
        <f ca="1">IFERROR(__xludf.DUMMYFUNCTION("""COMPUTED_VALUE"""),"")</f>
        <v/>
      </c>
      <c r="F483" s="30" t="str">
        <f ca="1">IFERROR(__xludf.DUMMYFUNCTION("""COMPUTED_VALUE"""),"")</f>
        <v/>
      </c>
      <c r="G483" s="29" t="str">
        <f ca="1">IFERROR(__xludf.DUMMYFUNCTION("""COMPUTED_VALUE"""),"")</f>
        <v/>
      </c>
      <c r="H483" s="30" t="str">
        <f ca="1">IFERROR(__xludf.DUMMYFUNCTION("""COMPUTED_VALUE"""),"")</f>
        <v/>
      </c>
      <c r="I483" s="29" t="str">
        <f ca="1">IFERROR(__xludf.DUMMYFUNCTION("""COMPUTED_VALUE"""),"")</f>
        <v/>
      </c>
      <c r="J483" s="29" t="str">
        <f ca="1">IFERROR(__xludf.DUMMYFUNCTION("""COMPUTED_VALUE"""),"")</f>
        <v/>
      </c>
      <c r="K483" s="29" t="str">
        <f ca="1">IFERROR(__xludf.DUMMYFUNCTION("""COMPUTED_VALUE"""),"")</f>
        <v/>
      </c>
      <c r="L483" s="29" t="str">
        <f ca="1">IFERROR(__xludf.DUMMYFUNCTION("""COMPUTED_VALUE"""),"")</f>
        <v/>
      </c>
      <c r="M483" s="29" t="str">
        <f ca="1">IFERROR(__xludf.DUMMYFUNCTION("""COMPUTED_VALUE"""),"")</f>
        <v/>
      </c>
      <c r="N483" s="29" t="str">
        <f ca="1">IFERROR(__xludf.DUMMYFUNCTION("""COMPUTED_VALUE"""),"")</f>
        <v/>
      </c>
    </row>
    <row r="484" spans="2:14" ht="12.5">
      <c r="B484" s="2"/>
      <c r="C484" s="2" t="str">
        <f ca="1">IFERROR(__xludf.DUMMYFUNCTION("""COMPUTED_VALUE"""),"")</f>
        <v/>
      </c>
      <c r="D484" s="2" t="str">
        <f ca="1">IFERROR(__xludf.DUMMYFUNCTION("""COMPUTED_VALUE"""),"")</f>
        <v/>
      </c>
      <c r="E484" s="29" t="str">
        <f ca="1">IFERROR(__xludf.DUMMYFUNCTION("""COMPUTED_VALUE"""),"")</f>
        <v/>
      </c>
      <c r="F484" s="30" t="str">
        <f ca="1">IFERROR(__xludf.DUMMYFUNCTION("""COMPUTED_VALUE"""),"")</f>
        <v/>
      </c>
      <c r="G484" s="29" t="str">
        <f ca="1">IFERROR(__xludf.DUMMYFUNCTION("""COMPUTED_VALUE"""),"")</f>
        <v/>
      </c>
      <c r="H484" s="30" t="str">
        <f ca="1">IFERROR(__xludf.DUMMYFUNCTION("""COMPUTED_VALUE"""),"")</f>
        <v/>
      </c>
      <c r="I484" s="29" t="str">
        <f ca="1">IFERROR(__xludf.DUMMYFUNCTION("""COMPUTED_VALUE"""),"")</f>
        <v/>
      </c>
      <c r="J484" s="29" t="str">
        <f ca="1">IFERROR(__xludf.DUMMYFUNCTION("""COMPUTED_VALUE"""),"")</f>
        <v/>
      </c>
      <c r="K484" s="29" t="str">
        <f ca="1">IFERROR(__xludf.DUMMYFUNCTION("""COMPUTED_VALUE"""),"")</f>
        <v/>
      </c>
      <c r="L484" s="29" t="str">
        <f ca="1">IFERROR(__xludf.DUMMYFUNCTION("""COMPUTED_VALUE"""),"")</f>
        <v/>
      </c>
      <c r="M484" s="29" t="str">
        <f ca="1">IFERROR(__xludf.DUMMYFUNCTION("""COMPUTED_VALUE"""),"")</f>
        <v/>
      </c>
      <c r="N484" s="29" t="str">
        <f ca="1">IFERROR(__xludf.DUMMYFUNCTION("""COMPUTED_VALUE"""),"")</f>
        <v/>
      </c>
    </row>
    <row r="485" spans="2:14" ht="12.5">
      <c r="B485" s="2"/>
      <c r="C485" s="2" t="str">
        <f ca="1">IFERROR(__xludf.DUMMYFUNCTION("""COMPUTED_VALUE"""),"")</f>
        <v/>
      </c>
      <c r="D485" s="2" t="str">
        <f ca="1">IFERROR(__xludf.DUMMYFUNCTION("""COMPUTED_VALUE"""),"")</f>
        <v/>
      </c>
      <c r="E485" s="29" t="str">
        <f ca="1">IFERROR(__xludf.DUMMYFUNCTION("""COMPUTED_VALUE"""),"")</f>
        <v/>
      </c>
      <c r="F485" s="30" t="str">
        <f ca="1">IFERROR(__xludf.DUMMYFUNCTION("""COMPUTED_VALUE"""),"")</f>
        <v/>
      </c>
      <c r="G485" s="29" t="str">
        <f ca="1">IFERROR(__xludf.DUMMYFUNCTION("""COMPUTED_VALUE"""),"")</f>
        <v/>
      </c>
      <c r="H485" s="30" t="str">
        <f ca="1">IFERROR(__xludf.DUMMYFUNCTION("""COMPUTED_VALUE"""),"")</f>
        <v/>
      </c>
      <c r="I485" s="29" t="str">
        <f ca="1">IFERROR(__xludf.DUMMYFUNCTION("""COMPUTED_VALUE"""),"")</f>
        <v/>
      </c>
      <c r="J485" s="29" t="str">
        <f ca="1">IFERROR(__xludf.DUMMYFUNCTION("""COMPUTED_VALUE"""),"")</f>
        <v/>
      </c>
      <c r="K485" s="29" t="str">
        <f ca="1">IFERROR(__xludf.DUMMYFUNCTION("""COMPUTED_VALUE"""),"")</f>
        <v/>
      </c>
      <c r="L485" s="29" t="str">
        <f ca="1">IFERROR(__xludf.DUMMYFUNCTION("""COMPUTED_VALUE"""),"")</f>
        <v/>
      </c>
      <c r="M485" s="29" t="str">
        <f ca="1">IFERROR(__xludf.DUMMYFUNCTION("""COMPUTED_VALUE"""),"")</f>
        <v/>
      </c>
      <c r="N485" s="29" t="str">
        <f ca="1">IFERROR(__xludf.DUMMYFUNCTION("""COMPUTED_VALUE"""),"")</f>
        <v/>
      </c>
    </row>
    <row r="486" spans="2:14" ht="12.5">
      <c r="B486" s="2"/>
      <c r="C486" s="2" t="str">
        <f ca="1">IFERROR(__xludf.DUMMYFUNCTION("""COMPUTED_VALUE"""),"")</f>
        <v/>
      </c>
      <c r="D486" s="2" t="str">
        <f ca="1">IFERROR(__xludf.DUMMYFUNCTION("""COMPUTED_VALUE"""),"")</f>
        <v/>
      </c>
      <c r="E486" s="29" t="str">
        <f ca="1">IFERROR(__xludf.DUMMYFUNCTION("""COMPUTED_VALUE"""),"")</f>
        <v/>
      </c>
      <c r="F486" s="30" t="str">
        <f ca="1">IFERROR(__xludf.DUMMYFUNCTION("""COMPUTED_VALUE"""),"")</f>
        <v/>
      </c>
      <c r="G486" s="29" t="str">
        <f ca="1">IFERROR(__xludf.DUMMYFUNCTION("""COMPUTED_VALUE"""),"")</f>
        <v/>
      </c>
      <c r="H486" s="30" t="str">
        <f ca="1">IFERROR(__xludf.DUMMYFUNCTION("""COMPUTED_VALUE"""),"")</f>
        <v/>
      </c>
      <c r="I486" s="29" t="str">
        <f ca="1">IFERROR(__xludf.DUMMYFUNCTION("""COMPUTED_VALUE"""),"")</f>
        <v/>
      </c>
      <c r="J486" s="29" t="str">
        <f ca="1">IFERROR(__xludf.DUMMYFUNCTION("""COMPUTED_VALUE"""),"")</f>
        <v/>
      </c>
      <c r="K486" s="29" t="str">
        <f ca="1">IFERROR(__xludf.DUMMYFUNCTION("""COMPUTED_VALUE"""),"")</f>
        <v/>
      </c>
      <c r="L486" s="29" t="str">
        <f ca="1">IFERROR(__xludf.DUMMYFUNCTION("""COMPUTED_VALUE"""),"")</f>
        <v/>
      </c>
      <c r="M486" s="29" t="str">
        <f ca="1">IFERROR(__xludf.DUMMYFUNCTION("""COMPUTED_VALUE"""),"")</f>
        <v/>
      </c>
      <c r="N486" s="29" t="str">
        <f ca="1">IFERROR(__xludf.DUMMYFUNCTION("""COMPUTED_VALUE"""),"")</f>
        <v/>
      </c>
    </row>
    <row r="487" spans="2:14" ht="12.5">
      <c r="B487" s="2"/>
      <c r="C487" s="2" t="str">
        <f ca="1">IFERROR(__xludf.DUMMYFUNCTION("""COMPUTED_VALUE"""),"")</f>
        <v/>
      </c>
      <c r="D487" s="2" t="str">
        <f ca="1">IFERROR(__xludf.DUMMYFUNCTION("""COMPUTED_VALUE"""),"")</f>
        <v/>
      </c>
      <c r="E487" s="29" t="str">
        <f ca="1">IFERROR(__xludf.DUMMYFUNCTION("""COMPUTED_VALUE"""),"")</f>
        <v/>
      </c>
      <c r="F487" s="30" t="str">
        <f ca="1">IFERROR(__xludf.DUMMYFUNCTION("""COMPUTED_VALUE"""),"")</f>
        <v/>
      </c>
      <c r="G487" s="29" t="str">
        <f ca="1">IFERROR(__xludf.DUMMYFUNCTION("""COMPUTED_VALUE"""),"")</f>
        <v/>
      </c>
      <c r="H487" s="30" t="str">
        <f ca="1">IFERROR(__xludf.DUMMYFUNCTION("""COMPUTED_VALUE"""),"")</f>
        <v/>
      </c>
      <c r="I487" s="29" t="str">
        <f ca="1">IFERROR(__xludf.DUMMYFUNCTION("""COMPUTED_VALUE"""),"")</f>
        <v/>
      </c>
      <c r="J487" s="29" t="str">
        <f ca="1">IFERROR(__xludf.DUMMYFUNCTION("""COMPUTED_VALUE"""),"")</f>
        <v/>
      </c>
      <c r="K487" s="29" t="str">
        <f ca="1">IFERROR(__xludf.DUMMYFUNCTION("""COMPUTED_VALUE"""),"")</f>
        <v/>
      </c>
      <c r="L487" s="29" t="str">
        <f ca="1">IFERROR(__xludf.DUMMYFUNCTION("""COMPUTED_VALUE"""),"")</f>
        <v/>
      </c>
      <c r="M487" s="29" t="str">
        <f ca="1">IFERROR(__xludf.DUMMYFUNCTION("""COMPUTED_VALUE"""),"")</f>
        <v/>
      </c>
      <c r="N487" s="29" t="str">
        <f ca="1">IFERROR(__xludf.DUMMYFUNCTION("""COMPUTED_VALUE"""),"")</f>
        <v/>
      </c>
    </row>
    <row r="488" spans="2:14" ht="12.5">
      <c r="B488" s="2"/>
      <c r="C488" s="2" t="str">
        <f ca="1">IFERROR(__xludf.DUMMYFUNCTION("""COMPUTED_VALUE"""),"")</f>
        <v/>
      </c>
      <c r="D488" s="2" t="str">
        <f ca="1">IFERROR(__xludf.DUMMYFUNCTION("""COMPUTED_VALUE"""),"")</f>
        <v/>
      </c>
      <c r="E488" s="29" t="str">
        <f ca="1">IFERROR(__xludf.DUMMYFUNCTION("""COMPUTED_VALUE"""),"")</f>
        <v/>
      </c>
      <c r="F488" s="30" t="str">
        <f ca="1">IFERROR(__xludf.DUMMYFUNCTION("""COMPUTED_VALUE"""),"")</f>
        <v/>
      </c>
      <c r="G488" s="29" t="str">
        <f ca="1">IFERROR(__xludf.DUMMYFUNCTION("""COMPUTED_VALUE"""),"")</f>
        <v/>
      </c>
      <c r="H488" s="30" t="str">
        <f ca="1">IFERROR(__xludf.DUMMYFUNCTION("""COMPUTED_VALUE"""),"")</f>
        <v/>
      </c>
      <c r="I488" s="29" t="str">
        <f ca="1">IFERROR(__xludf.DUMMYFUNCTION("""COMPUTED_VALUE"""),"")</f>
        <v/>
      </c>
      <c r="J488" s="29" t="str">
        <f ca="1">IFERROR(__xludf.DUMMYFUNCTION("""COMPUTED_VALUE"""),"")</f>
        <v/>
      </c>
      <c r="K488" s="29" t="str">
        <f ca="1">IFERROR(__xludf.DUMMYFUNCTION("""COMPUTED_VALUE"""),"")</f>
        <v/>
      </c>
      <c r="L488" s="29" t="str">
        <f ca="1">IFERROR(__xludf.DUMMYFUNCTION("""COMPUTED_VALUE"""),"")</f>
        <v/>
      </c>
      <c r="M488" s="29" t="str">
        <f ca="1">IFERROR(__xludf.DUMMYFUNCTION("""COMPUTED_VALUE"""),"")</f>
        <v/>
      </c>
      <c r="N488" s="29" t="str">
        <f ca="1">IFERROR(__xludf.DUMMYFUNCTION("""COMPUTED_VALUE"""),"")</f>
        <v/>
      </c>
    </row>
    <row r="489" spans="2:14" ht="12.5">
      <c r="B489" s="2"/>
      <c r="C489" s="2" t="str">
        <f ca="1">IFERROR(__xludf.DUMMYFUNCTION("""COMPUTED_VALUE"""),"")</f>
        <v/>
      </c>
      <c r="D489" s="2" t="str">
        <f ca="1">IFERROR(__xludf.DUMMYFUNCTION("""COMPUTED_VALUE"""),"")</f>
        <v/>
      </c>
      <c r="E489" s="29" t="str">
        <f ca="1">IFERROR(__xludf.DUMMYFUNCTION("""COMPUTED_VALUE"""),"")</f>
        <v/>
      </c>
      <c r="F489" s="30" t="str">
        <f ca="1">IFERROR(__xludf.DUMMYFUNCTION("""COMPUTED_VALUE"""),"")</f>
        <v/>
      </c>
      <c r="G489" s="29" t="str">
        <f ca="1">IFERROR(__xludf.DUMMYFUNCTION("""COMPUTED_VALUE"""),"")</f>
        <v/>
      </c>
      <c r="H489" s="30" t="str">
        <f ca="1">IFERROR(__xludf.DUMMYFUNCTION("""COMPUTED_VALUE"""),"")</f>
        <v/>
      </c>
      <c r="I489" s="29" t="str">
        <f ca="1">IFERROR(__xludf.DUMMYFUNCTION("""COMPUTED_VALUE"""),"")</f>
        <v/>
      </c>
      <c r="J489" s="29" t="str">
        <f ca="1">IFERROR(__xludf.DUMMYFUNCTION("""COMPUTED_VALUE"""),"")</f>
        <v/>
      </c>
      <c r="K489" s="29" t="str">
        <f ca="1">IFERROR(__xludf.DUMMYFUNCTION("""COMPUTED_VALUE"""),"")</f>
        <v/>
      </c>
      <c r="L489" s="29" t="str">
        <f ca="1">IFERROR(__xludf.DUMMYFUNCTION("""COMPUTED_VALUE"""),"")</f>
        <v/>
      </c>
      <c r="M489" s="29" t="str">
        <f ca="1">IFERROR(__xludf.DUMMYFUNCTION("""COMPUTED_VALUE"""),"")</f>
        <v/>
      </c>
      <c r="N489" s="29" t="str">
        <f ca="1">IFERROR(__xludf.DUMMYFUNCTION("""COMPUTED_VALUE"""),"")</f>
        <v/>
      </c>
    </row>
    <row r="490" spans="2:14" ht="12.5">
      <c r="B490" s="2"/>
      <c r="C490" s="2" t="str">
        <f ca="1">IFERROR(__xludf.DUMMYFUNCTION("""COMPUTED_VALUE"""),"")</f>
        <v/>
      </c>
      <c r="D490" s="2" t="str">
        <f ca="1">IFERROR(__xludf.DUMMYFUNCTION("""COMPUTED_VALUE"""),"")</f>
        <v/>
      </c>
      <c r="E490" s="29" t="str">
        <f ca="1">IFERROR(__xludf.DUMMYFUNCTION("""COMPUTED_VALUE"""),"")</f>
        <v/>
      </c>
      <c r="F490" s="30" t="str">
        <f ca="1">IFERROR(__xludf.DUMMYFUNCTION("""COMPUTED_VALUE"""),"")</f>
        <v/>
      </c>
      <c r="G490" s="29" t="str">
        <f ca="1">IFERROR(__xludf.DUMMYFUNCTION("""COMPUTED_VALUE"""),"")</f>
        <v/>
      </c>
      <c r="H490" s="30" t="str">
        <f ca="1">IFERROR(__xludf.DUMMYFUNCTION("""COMPUTED_VALUE"""),"")</f>
        <v/>
      </c>
      <c r="I490" s="29" t="str">
        <f ca="1">IFERROR(__xludf.DUMMYFUNCTION("""COMPUTED_VALUE"""),"")</f>
        <v/>
      </c>
      <c r="J490" s="29" t="str">
        <f ca="1">IFERROR(__xludf.DUMMYFUNCTION("""COMPUTED_VALUE"""),"")</f>
        <v/>
      </c>
      <c r="K490" s="29" t="str">
        <f ca="1">IFERROR(__xludf.DUMMYFUNCTION("""COMPUTED_VALUE"""),"")</f>
        <v/>
      </c>
      <c r="L490" s="29" t="str">
        <f ca="1">IFERROR(__xludf.DUMMYFUNCTION("""COMPUTED_VALUE"""),"")</f>
        <v/>
      </c>
      <c r="M490" s="29" t="str">
        <f ca="1">IFERROR(__xludf.DUMMYFUNCTION("""COMPUTED_VALUE"""),"")</f>
        <v/>
      </c>
      <c r="N490" s="29" t="str">
        <f ca="1">IFERROR(__xludf.DUMMYFUNCTION("""COMPUTED_VALUE"""),"")</f>
        <v/>
      </c>
    </row>
    <row r="491" spans="2:14" ht="12.5">
      <c r="B491" s="2"/>
      <c r="C491" s="2" t="str">
        <f ca="1">IFERROR(__xludf.DUMMYFUNCTION("""COMPUTED_VALUE"""),"")</f>
        <v/>
      </c>
      <c r="D491" s="2" t="str">
        <f ca="1">IFERROR(__xludf.DUMMYFUNCTION("""COMPUTED_VALUE"""),"")</f>
        <v/>
      </c>
      <c r="E491" s="29" t="str">
        <f ca="1">IFERROR(__xludf.DUMMYFUNCTION("""COMPUTED_VALUE"""),"")</f>
        <v/>
      </c>
      <c r="F491" s="30" t="str">
        <f ca="1">IFERROR(__xludf.DUMMYFUNCTION("""COMPUTED_VALUE"""),"")</f>
        <v/>
      </c>
      <c r="G491" s="29" t="str">
        <f ca="1">IFERROR(__xludf.DUMMYFUNCTION("""COMPUTED_VALUE"""),"")</f>
        <v/>
      </c>
      <c r="H491" s="30" t="str">
        <f ca="1">IFERROR(__xludf.DUMMYFUNCTION("""COMPUTED_VALUE"""),"")</f>
        <v/>
      </c>
      <c r="I491" s="29" t="str">
        <f ca="1">IFERROR(__xludf.DUMMYFUNCTION("""COMPUTED_VALUE"""),"")</f>
        <v/>
      </c>
      <c r="J491" s="29" t="str">
        <f ca="1">IFERROR(__xludf.DUMMYFUNCTION("""COMPUTED_VALUE"""),"")</f>
        <v/>
      </c>
      <c r="K491" s="29" t="str">
        <f ca="1">IFERROR(__xludf.DUMMYFUNCTION("""COMPUTED_VALUE"""),"")</f>
        <v/>
      </c>
      <c r="L491" s="29" t="str">
        <f ca="1">IFERROR(__xludf.DUMMYFUNCTION("""COMPUTED_VALUE"""),"")</f>
        <v/>
      </c>
      <c r="M491" s="29" t="str">
        <f ca="1">IFERROR(__xludf.DUMMYFUNCTION("""COMPUTED_VALUE"""),"")</f>
        <v/>
      </c>
      <c r="N491" s="29" t="str">
        <f ca="1">IFERROR(__xludf.DUMMYFUNCTION("""COMPUTED_VALUE"""),"")</f>
        <v/>
      </c>
    </row>
    <row r="492" spans="2:14" ht="12.5">
      <c r="B492" s="2"/>
      <c r="C492" s="2" t="str">
        <f ca="1">IFERROR(__xludf.DUMMYFUNCTION("""COMPUTED_VALUE"""),"")</f>
        <v/>
      </c>
      <c r="D492" s="2" t="str">
        <f ca="1">IFERROR(__xludf.DUMMYFUNCTION("""COMPUTED_VALUE"""),"")</f>
        <v/>
      </c>
      <c r="E492" s="29" t="str">
        <f ca="1">IFERROR(__xludf.DUMMYFUNCTION("""COMPUTED_VALUE"""),"")</f>
        <v/>
      </c>
      <c r="F492" s="30" t="str">
        <f ca="1">IFERROR(__xludf.DUMMYFUNCTION("""COMPUTED_VALUE"""),"")</f>
        <v/>
      </c>
      <c r="G492" s="29" t="str">
        <f ca="1">IFERROR(__xludf.DUMMYFUNCTION("""COMPUTED_VALUE"""),"")</f>
        <v/>
      </c>
      <c r="H492" s="30" t="str">
        <f ca="1">IFERROR(__xludf.DUMMYFUNCTION("""COMPUTED_VALUE"""),"")</f>
        <v/>
      </c>
      <c r="I492" s="29" t="str">
        <f ca="1">IFERROR(__xludf.DUMMYFUNCTION("""COMPUTED_VALUE"""),"")</f>
        <v/>
      </c>
      <c r="J492" s="29" t="str">
        <f ca="1">IFERROR(__xludf.DUMMYFUNCTION("""COMPUTED_VALUE"""),"")</f>
        <v/>
      </c>
      <c r="K492" s="29" t="str">
        <f ca="1">IFERROR(__xludf.DUMMYFUNCTION("""COMPUTED_VALUE"""),"")</f>
        <v/>
      </c>
      <c r="L492" s="29" t="str">
        <f ca="1">IFERROR(__xludf.DUMMYFUNCTION("""COMPUTED_VALUE"""),"")</f>
        <v/>
      </c>
      <c r="M492" s="29" t="str">
        <f ca="1">IFERROR(__xludf.DUMMYFUNCTION("""COMPUTED_VALUE"""),"")</f>
        <v/>
      </c>
      <c r="N492" s="29" t="str">
        <f ca="1">IFERROR(__xludf.DUMMYFUNCTION("""COMPUTED_VALUE"""),"")</f>
        <v/>
      </c>
    </row>
    <row r="493" spans="2:14" ht="12.5">
      <c r="B493" s="2"/>
      <c r="C493" s="2" t="str">
        <f ca="1">IFERROR(__xludf.DUMMYFUNCTION("""COMPUTED_VALUE"""),"")</f>
        <v/>
      </c>
      <c r="D493" s="2" t="str">
        <f ca="1">IFERROR(__xludf.DUMMYFUNCTION("""COMPUTED_VALUE"""),"")</f>
        <v/>
      </c>
      <c r="E493" s="29" t="str">
        <f ca="1">IFERROR(__xludf.DUMMYFUNCTION("""COMPUTED_VALUE"""),"")</f>
        <v/>
      </c>
      <c r="F493" s="30" t="str">
        <f ca="1">IFERROR(__xludf.DUMMYFUNCTION("""COMPUTED_VALUE"""),"")</f>
        <v/>
      </c>
      <c r="G493" s="29" t="str">
        <f ca="1">IFERROR(__xludf.DUMMYFUNCTION("""COMPUTED_VALUE"""),"")</f>
        <v/>
      </c>
      <c r="H493" s="30" t="str">
        <f ca="1">IFERROR(__xludf.DUMMYFUNCTION("""COMPUTED_VALUE"""),"")</f>
        <v/>
      </c>
      <c r="I493" s="29" t="str">
        <f ca="1">IFERROR(__xludf.DUMMYFUNCTION("""COMPUTED_VALUE"""),"")</f>
        <v/>
      </c>
      <c r="J493" s="29" t="str">
        <f ca="1">IFERROR(__xludf.DUMMYFUNCTION("""COMPUTED_VALUE"""),"")</f>
        <v/>
      </c>
      <c r="K493" s="29" t="str">
        <f ca="1">IFERROR(__xludf.DUMMYFUNCTION("""COMPUTED_VALUE"""),"")</f>
        <v/>
      </c>
      <c r="L493" s="29" t="str">
        <f ca="1">IFERROR(__xludf.DUMMYFUNCTION("""COMPUTED_VALUE"""),"")</f>
        <v/>
      </c>
      <c r="M493" s="29" t="str">
        <f ca="1">IFERROR(__xludf.DUMMYFUNCTION("""COMPUTED_VALUE"""),"")</f>
        <v/>
      </c>
      <c r="N493" s="29" t="str">
        <f ca="1">IFERROR(__xludf.DUMMYFUNCTION("""COMPUTED_VALUE"""),"")</f>
        <v/>
      </c>
    </row>
    <row r="494" spans="2:14" ht="12.5">
      <c r="B494" s="2"/>
      <c r="C494" s="2" t="str">
        <f ca="1">IFERROR(__xludf.DUMMYFUNCTION("""COMPUTED_VALUE"""),"")</f>
        <v/>
      </c>
      <c r="D494" s="2" t="str">
        <f ca="1">IFERROR(__xludf.DUMMYFUNCTION("""COMPUTED_VALUE"""),"")</f>
        <v/>
      </c>
      <c r="E494" s="29" t="str">
        <f ca="1">IFERROR(__xludf.DUMMYFUNCTION("""COMPUTED_VALUE"""),"")</f>
        <v/>
      </c>
      <c r="F494" s="30" t="str">
        <f ca="1">IFERROR(__xludf.DUMMYFUNCTION("""COMPUTED_VALUE"""),"")</f>
        <v/>
      </c>
      <c r="G494" s="29" t="str">
        <f ca="1">IFERROR(__xludf.DUMMYFUNCTION("""COMPUTED_VALUE"""),"")</f>
        <v/>
      </c>
      <c r="H494" s="30" t="str">
        <f ca="1">IFERROR(__xludf.DUMMYFUNCTION("""COMPUTED_VALUE"""),"")</f>
        <v/>
      </c>
      <c r="I494" s="29" t="str">
        <f ca="1">IFERROR(__xludf.DUMMYFUNCTION("""COMPUTED_VALUE"""),"")</f>
        <v/>
      </c>
      <c r="J494" s="29" t="str">
        <f ca="1">IFERROR(__xludf.DUMMYFUNCTION("""COMPUTED_VALUE"""),"")</f>
        <v/>
      </c>
      <c r="K494" s="29" t="str">
        <f ca="1">IFERROR(__xludf.DUMMYFUNCTION("""COMPUTED_VALUE"""),"")</f>
        <v/>
      </c>
      <c r="L494" s="29" t="str">
        <f ca="1">IFERROR(__xludf.DUMMYFUNCTION("""COMPUTED_VALUE"""),"")</f>
        <v/>
      </c>
      <c r="M494" s="29" t="str">
        <f ca="1">IFERROR(__xludf.DUMMYFUNCTION("""COMPUTED_VALUE"""),"")</f>
        <v/>
      </c>
      <c r="N494" s="29" t="str">
        <f ca="1">IFERROR(__xludf.DUMMYFUNCTION("""COMPUTED_VALUE"""),"")</f>
        <v/>
      </c>
    </row>
    <row r="495" spans="2:14" ht="12.5">
      <c r="B495" s="2"/>
      <c r="C495" s="2" t="str">
        <f ca="1">IFERROR(__xludf.DUMMYFUNCTION("""COMPUTED_VALUE"""),"")</f>
        <v/>
      </c>
      <c r="D495" s="2" t="str">
        <f ca="1">IFERROR(__xludf.DUMMYFUNCTION("""COMPUTED_VALUE"""),"")</f>
        <v/>
      </c>
      <c r="E495" s="29" t="str">
        <f ca="1">IFERROR(__xludf.DUMMYFUNCTION("""COMPUTED_VALUE"""),"")</f>
        <v/>
      </c>
      <c r="F495" s="30" t="str">
        <f ca="1">IFERROR(__xludf.DUMMYFUNCTION("""COMPUTED_VALUE"""),"")</f>
        <v/>
      </c>
      <c r="G495" s="29" t="str">
        <f ca="1">IFERROR(__xludf.DUMMYFUNCTION("""COMPUTED_VALUE"""),"")</f>
        <v/>
      </c>
      <c r="H495" s="30" t="str">
        <f ca="1">IFERROR(__xludf.DUMMYFUNCTION("""COMPUTED_VALUE"""),"")</f>
        <v/>
      </c>
      <c r="I495" s="29" t="str">
        <f ca="1">IFERROR(__xludf.DUMMYFUNCTION("""COMPUTED_VALUE"""),"")</f>
        <v/>
      </c>
      <c r="J495" s="29" t="str">
        <f ca="1">IFERROR(__xludf.DUMMYFUNCTION("""COMPUTED_VALUE"""),"")</f>
        <v/>
      </c>
      <c r="K495" s="29" t="str">
        <f ca="1">IFERROR(__xludf.DUMMYFUNCTION("""COMPUTED_VALUE"""),"")</f>
        <v/>
      </c>
      <c r="L495" s="29" t="str">
        <f ca="1">IFERROR(__xludf.DUMMYFUNCTION("""COMPUTED_VALUE"""),"")</f>
        <v/>
      </c>
      <c r="M495" s="29" t="str">
        <f ca="1">IFERROR(__xludf.DUMMYFUNCTION("""COMPUTED_VALUE"""),"")</f>
        <v/>
      </c>
      <c r="N495" s="29" t="str">
        <f ca="1">IFERROR(__xludf.DUMMYFUNCTION("""COMPUTED_VALUE"""),"")</f>
        <v/>
      </c>
    </row>
    <row r="496" spans="2:14" ht="12.5">
      <c r="B496" s="2"/>
      <c r="C496" s="2" t="str">
        <f ca="1">IFERROR(__xludf.DUMMYFUNCTION("""COMPUTED_VALUE"""),"")</f>
        <v/>
      </c>
      <c r="D496" s="2" t="str">
        <f ca="1">IFERROR(__xludf.DUMMYFUNCTION("""COMPUTED_VALUE"""),"")</f>
        <v/>
      </c>
      <c r="E496" s="29" t="str">
        <f ca="1">IFERROR(__xludf.DUMMYFUNCTION("""COMPUTED_VALUE"""),"")</f>
        <v/>
      </c>
      <c r="F496" s="30" t="str">
        <f ca="1">IFERROR(__xludf.DUMMYFUNCTION("""COMPUTED_VALUE"""),"")</f>
        <v/>
      </c>
      <c r="G496" s="29" t="str">
        <f ca="1">IFERROR(__xludf.DUMMYFUNCTION("""COMPUTED_VALUE"""),"")</f>
        <v/>
      </c>
      <c r="H496" s="30" t="str">
        <f ca="1">IFERROR(__xludf.DUMMYFUNCTION("""COMPUTED_VALUE"""),"")</f>
        <v/>
      </c>
      <c r="I496" s="29" t="str">
        <f ca="1">IFERROR(__xludf.DUMMYFUNCTION("""COMPUTED_VALUE"""),"")</f>
        <v/>
      </c>
      <c r="J496" s="29" t="str">
        <f ca="1">IFERROR(__xludf.DUMMYFUNCTION("""COMPUTED_VALUE"""),"")</f>
        <v/>
      </c>
      <c r="K496" s="29" t="str">
        <f ca="1">IFERROR(__xludf.DUMMYFUNCTION("""COMPUTED_VALUE"""),"")</f>
        <v/>
      </c>
      <c r="L496" s="29" t="str">
        <f ca="1">IFERROR(__xludf.DUMMYFUNCTION("""COMPUTED_VALUE"""),"")</f>
        <v/>
      </c>
      <c r="M496" s="29" t="str">
        <f ca="1">IFERROR(__xludf.DUMMYFUNCTION("""COMPUTED_VALUE"""),"")</f>
        <v/>
      </c>
      <c r="N496" s="29" t="str">
        <f ca="1">IFERROR(__xludf.DUMMYFUNCTION("""COMPUTED_VALUE"""),"")</f>
        <v/>
      </c>
    </row>
    <row r="497" spans="2:14" ht="12.5">
      <c r="B497" s="2"/>
      <c r="C497" s="2" t="str">
        <f ca="1">IFERROR(__xludf.DUMMYFUNCTION("""COMPUTED_VALUE"""),"")</f>
        <v/>
      </c>
      <c r="D497" s="2" t="str">
        <f ca="1">IFERROR(__xludf.DUMMYFUNCTION("""COMPUTED_VALUE"""),"")</f>
        <v/>
      </c>
      <c r="E497" s="29" t="str">
        <f ca="1">IFERROR(__xludf.DUMMYFUNCTION("""COMPUTED_VALUE"""),"")</f>
        <v/>
      </c>
      <c r="F497" s="30" t="str">
        <f ca="1">IFERROR(__xludf.DUMMYFUNCTION("""COMPUTED_VALUE"""),"")</f>
        <v/>
      </c>
      <c r="G497" s="29" t="str">
        <f ca="1">IFERROR(__xludf.DUMMYFUNCTION("""COMPUTED_VALUE"""),"")</f>
        <v/>
      </c>
      <c r="H497" s="30" t="str">
        <f ca="1">IFERROR(__xludf.DUMMYFUNCTION("""COMPUTED_VALUE"""),"")</f>
        <v/>
      </c>
      <c r="I497" s="29" t="str">
        <f ca="1">IFERROR(__xludf.DUMMYFUNCTION("""COMPUTED_VALUE"""),"")</f>
        <v/>
      </c>
      <c r="J497" s="29" t="str">
        <f ca="1">IFERROR(__xludf.DUMMYFUNCTION("""COMPUTED_VALUE"""),"")</f>
        <v/>
      </c>
      <c r="K497" s="29" t="str">
        <f ca="1">IFERROR(__xludf.DUMMYFUNCTION("""COMPUTED_VALUE"""),"")</f>
        <v/>
      </c>
      <c r="L497" s="29" t="str">
        <f ca="1">IFERROR(__xludf.DUMMYFUNCTION("""COMPUTED_VALUE"""),"")</f>
        <v/>
      </c>
      <c r="M497" s="29" t="str">
        <f ca="1">IFERROR(__xludf.DUMMYFUNCTION("""COMPUTED_VALUE"""),"")</f>
        <v/>
      </c>
      <c r="N497" s="29" t="str">
        <f ca="1">IFERROR(__xludf.DUMMYFUNCTION("""COMPUTED_VALUE"""),"")</f>
        <v/>
      </c>
    </row>
    <row r="498" spans="2:14" ht="12.5">
      <c r="B498" s="2"/>
      <c r="C498" s="2" t="str">
        <f ca="1">IFERROR(__xludf.DUMMYFUNCTION("""COMPUTED_VALUE"""),"")</f>
        <v/>
      </c>
      <c r="D498" s="2" t="str">
        <f ca="1">IFERROR(__xludf.DUMMYFUNCTION("""COMPUTED_VALUE"""),"")</f>
        <v/>
      </c>
      <c r="E498" s="29" t="str">
        <f ca="1">IFERROR(__xludf.DUMMYFUNCTION("""COMPUTED_VALUE"""),"")</f>
        <v/>
      </c>
      <c r="F498" s="30" t="str">
        <f ca="1">IFERROR(__xludf.DUMMYFUNCTION("""COMPUTED_VALUE"""),"")</f>
        <v/>
      </c>
      <c r="G498" s="29" t="str">
        <f ca="1">IFERROR(__xludf.DUMMYFUNCTION("""COMPUTED_VALUE"""),"")</f>
        <v/>
      </c>
      <c r="H498" s="30" t="str">
        <f ca="1">IFERROR(__xludf.DUMMYFUNCTION("""COMPUTED_VALUE"""),"")</f>
        <v/>
      </c>
      <c r="I498" s="29" t="str">
        <f ca="1">IFERROR(__xludf.DUMMYFUNCTION("""COMPUTED_VALUE"""),"")</f>
        <v/>
      </c>
      <c r="J498" s="29" t="str">
        <f ca="1">IFERROR(__xludf.DUMMYFUNCTION("""COMPUTED_VALUE"""),"")</f>
        <v/>
      </c>
      <c r="K498" s="29" t="str">
        <f ca="1">IFERROR(__xludf.DUMMYFUNCTION("""COMPUTED_VALUE"""),"")</f>
        <v/>
      </c>
      <c r="L498" s="29" t="str">
        <f ca="1">IFERROR(__xludf.DUMMYFUNCTION("""COMPUTED_VALUE"""),"")</f>
        <v/>
      </c>
      <c r="M498" s="29" t="str">
        <f ca="1">IFERROR(__xludf.DUMMYFUNCTION("""COMPUTED_VALUE"""),"")</f>
        <v/>
      </c>
      <c r="N498" s="29" t="str">
        <f ca="1">IFERROR(__xludf.DUMMYFUNCTION("""COMPUTED_VALUE"""),"")</f>
        <v/>
      </c>
    </row>
    <row r="499" spans="2:14" ht="12.5">
      <c r="B499" s="2"/>
      <c r="C499" s="2" t="str">
        <f ca="1">IFERROR(__xludf.DUMMYFUNCTION("""COMPUTED_VALUE"""),"")</f>
        <v/>
      </c>
      <c r="D499" s="2" t="str">
        <f ca="1">IFERROR(__xludf.DUMMYFUNCTION("""COMPUTED_VALUE"""),"")</f>
        <v/>
      </c>
      <c r="E499" s="29" t="str">
        <f ca="1">IFERROR(__xludf.DUMMYFUNCTION("""COMPUTED_VALUE"""),"")</f>
        <v/>
      </c>
      <c r="F499" s="30" t="str">
        <f ca="1">IFERROR(__xludf.DUMMYFUNCTION("""COMPUTED_VALUE"""),"")</f>
        <v/>
      </c>
      <c r="G499" s="29" t="str">
        <f ca="1">IFERROR(__xludf.DUMMYFUNCTION("""COMPUTED_VALUE"""),"")</f>
        <v/>
      </c>
      <c r="H499" s="30" t="str">
        <f ca="1">IFERROR(__xludf.DUMMYFUNCTION("""COMPUTED_VALUE"""),"")</f>
        <v/>
      </c>
      <c r="I499" s="29" t="str">
        <f ca="1">IFERROR(__xludf.DUMMYFUNCTION("""COMPUTED_VALUE"""),"")</f>
        <v/>
      </c>
      <c r="J499" s="29" t="str">
        <f ca="1">IFERROR(__xludf.DUMMYFUNCTION("""COMPUTED_VALUE"""),"")</f>
        <v/>
      </c>
      <c r="K499" s="29" t="str">
        <f ca="1">IFERROR(__xludf.DUMMYFUNCTION("""COMPUTED_VALUE"""),"")</f>
        <v/>
      </c>
      <c r="L499" s="29" t="str">
        <f ca="1">IFERROR(__xludf.DUMMYFUNCTION("""COMPUTED_VALUE"""),"")</f>
        <v/>
      </c>
      <c r="M499" s="29" t="str">
        <f ca="1">IFERROR(__xludf.DUMMYFUNCTION("""COMPUTED_VALUE"""),"")</f>
        <v/>
      </c>
      <c r="N499" s="29" t="str">
        <f ca="1">IFERROR(__xludf.DUMMYFUNCTION("""COMPUTED_VALUE"""),"")</f>
        <v/>
      </c>
    </row>
    <row r="500" spans="2:14" ht="12.5">
      <c r="B500" s="2"/>
      <c r="C500" s="2" t="str">
        <f ca="1">IFERROR(__xludf.DUMMYFUNCTION("""COMPUTED_VALUE"""),"")</f>
        <v/>
      </c>
      <c r="D500" s="2" t="str">
        <f ca="1">IFERROR(__xludf.DUMMYFUNCTION("""COMPUTED_VALUE"""),"")</f>
        <v/>
      </c>
      <c r="E500" s="29" t="str">
        <f ca="1">IFERROR(__xludf.DUMMYFUNCTION("""COMPUTED_VALUE"""),"")</f>
        <v/>
      </c>
      <c r="F500" s="30" t="str">
        <f ca="1">IFERROR(__xludf.DUMMYFUNCTION("""COMPUTED_VALUE"""),"")</f>
        <v/>
      </c>
      <c r="G500" s="29" t="str">
        <f ca="1">IFERROR(__xludf.DUMMYFUNCTION("""COMPUTED_VALUE"""),"")</f>
        <v/>
      </c>
      <c r="H500" s="30" t="str">
        <f ca="1">IFERROR(__xludf.DUMMYFUNCTION("""COMPUTED_VALUE"""),"")</f>
        <v/>
      </c>
      <c r="I500" s="29" t="str">
        <f ca="1">IFERROR(__xludf.DUMMYFUNCTION("""COMPUTED_VALUE"""),"")</f>
        <v/>
      </c>
      <c r="J500" s="29" t="str">
        <f ca="1">IFERROR(__xludf.DUMMYFUNCTION("""COMPUTED_VALUE"""),"")</f>
        <v/>
      </c>
      <c r="K500" s="29" t="str">
        <f ca="1">IFERROR(__xludf.DUMMYFUNCTION("""COMPUTED_VALUE"""),"")</f>
        <v/>
      </c>
      <c r="L500" s="29" t="str">
        <f ca="1">IFERROR(__xludf.DUMMYFUNCTION("""COMPUTED_VALUE"""),"")</f>
        <v/>
      </c>
      <c r="M500" s="29" t="str">
        <f ca="1">IFERROR(__xludf.DUMMYFUNCTION("""COMPUTED_VALUE"""),"")</f>
        <v/>
      </c>
      <c r="N500" s="29" t="str">
        <f ca="1">IFERROR(__xludf.DUMMYFUNCTION("""COMPUTED_VALUE"""),"")</f>
        <v/>
      </c>
    </row>
    <row r="501" spans="2:14" ht="12.5">
      <c r="B501" s="2"/>
      <c r="C501" s="2" t="str">
        <f ca="1">IFERROR(__xludf.DUMMYFUNCTION("""COMPUTED_VALUE"""),"")</f>
        <v/>
      </c>
      <c r="D501" s="2" t="str">
        <f ca="1">IFERROR(__xludf.DUMMYFUNCTION("""COMPUTED_VALUE"""),"")</f>
        <v/>
      </c>
      <c r="E501" s="29" t="str">
        <f ca="1">IFERROR(__xludf.DUMMYFUNCTION("""COMPUTED_VALUE"""),"")</f>
        <v/>
      </c>
      <c r="F501" s="30" t="str">
        <f ca="1">IFERROR(__xludf.DUMMYFUNCTION("""COMPUTED_VALUE"""),"")</f>
        <v/>
      </c>
      <c r="G501" s="29" t="str">
        <f ca="1">IFERROR(__xludf.DUMMYFUNCTION("""COMPUTED_VALUE"""),"")</f>
        <v/>
      </c>
      <c r="H501" s="30" t="str">
        <f ca="1">IFERROR(__xludf.DUMMYFUNCTION("""COMPUTED_VALUE"""),"")</f>
        <v/>
      </c>
      <c r="I501" s="29" t="str">
        <f ca="1">IFERROR(__xludf.DUMMYFUNCTION("""COMPUTED_VALUE"""),"")</f>
        <v/>
      </c>
      <c r="J501" s="29" t="str">
        <f ca="1">IFERROR(__xludf.DUMMYFUNCTION("""COMPUTED_VALUE"""),"")</f>
        <v/>
      </c>
      <c r="K501" s="29" t="str">
        <f ca="1">IFERROR(__xludf.DUMMYFUNCTION("""COMPUTED_VALUE"""),"")</f>
        <v/>
      </c>
      <c r="L501" s="29" t="str">
        <f ca="1">IFERROR(__xludf.DUMMYFUNCTION("""COMPUTED_VALUE"""),"")</f>
        <v/>
      </c>
      <c r="M501" s="29" t="str">
        <f ca="1">IFERROR(__xludf.DUMMYFUNCTION("""COMPUTED_VALUE"""),"")</f>
        <v/>
      </c>
      <c r="N501" s="29" t="str">
        <f ca="1">IFERROR(__xludf.DUMMYFUNCTION("""COMPUTED_VALUE"""),"")</f>
        <v/>
      </c>
    </row>
    <row r="502" spans="2:14" ht="12.5">
      <c r="B502" s="2"/>
      <c r="C502" s="2" t="str">
        <f ca="1">IFERROR(__xludf.DUMMYFUNCTION("""COMPUTED_VALUE"""),"")</f>
        <v/>
      </c>
      <c r="D502" s="2" t="str">
        <f ca="1">IFERROR(__xludf.DUMMYFUNCTION("""COMPUTED_VALUE"""),"")</f>
        <v/>
      </c>
      <c r="E502" s="29" t="str">
        <f ca="1">IFERROR(__xludf.DUMMYFUNCTION("""COMPUTED_VALUE"""),"")</f>
        <v/>
      </c>
      <c r="F502" s="30" t="str">
        <f ca="1">IFERROR(__xludf.DUMMYFUNCTION("""COMPUTED_VALUE"""),"")</f>
        <v/>
      </c>
      <c r="G502" s="29" t="str">
        <f ca="1">IFERROR(__xludf.DUMMYFUNCTION("""COMPUTED_VALUE"""),"")</f>
        <v/>
      </c>
      <c r="H502" s="30" t="str">
        <f ca="1">IFERROR(__xludf.DUMMYFUNCTION("""COMPUTED_VALUE"""),"")</f>
        <v/>
      </c>
      <c r="I502" s="29" t="str">
        <f ca="1">IFERROR(__xludf.DUMMYFUNCTION("""COMPUTED_VALUE"""),"")</f>
        <v/>
      </c>
      <c r="J502" s="29" t="str">
        <f ca="1">IFERROR(__xludf.DUMMYFUNCTION("""COMPUTED_VALUE"""),"")</f>
        <v/>
      </c>
      <c r="K502" s="29" t="str">
        <f ca="1">IFERROR(__xludf.DUMMYFUNCTION("""COMPUTED_VALUE"""),"")</f>
        <v/>
      </c>
      <c r="L502" s="29" t="str">
        <f ca="1">IFERROR(__xludf.DUMMYFUNCTION("""COMPUTED_VALUE"""),"")</f>
        <v/>
      </c>
      <c r="M502" s="29" t="str">
        <f ca="1">IFERROR(__xludf.DUMMYFUNCTION("""COMPUTED_VALUE"""),"")</f>
        <v/>
      </c>
      <c r="N502" s="29" t="str">
        <f ca="1">IFERROR(__xludf.DUMMYFUNCTION("""COMPUTED_VALUE"""),"")</f>
        <v/>
      </c>
    </row>
    <row r="503" spans="2:14" ht="12.5">
      <c r="B503" s="2"/>
      <c r="C503" s="2" t="str">
        <f ca="1">IFERROR(__xludf.DUMMYFUNCTION("""COMPUTED_VALUE"""),"")</f>
        <v/>
      </c>
      <c r="D503" s="2" t="str">
        <f ca="1">IFERROR(__xludf.DUMMYFUNCTION("""COMPUTED_VALUE"""),"")</f>
        <v/>
      </c>
      <c r="E503" s="29" t="str">
        <f ca="1">IFERROR(__xludf.DUMMYFUNCTION("""COMPUTED_VALUE"""),"")</f>
        <v/>
      </c>
      <c r="F503" s="30" t="str">
        <f ca="1">IFERROR(__xludf.DUMMYFUNCTION("""COMPUTED_VALUE"""),"")</f>
        <v/>
      </c>
      <c r="G503" s="29" t="str">
        <f ca="1">IFERROR(__xludf.DUMMYFUNCTION("""COMPUTED_VALUE"""),"")</f>
        <v/>
      </c>
      <c r="H503" s="30" t="str">
        <f ca="1">IFERROR(__xludf.DUMMYFUNCTION("""COMPUTED_VALUE"""),"")</f>
        <v/>
      </c>
      <c r="I503" s="29" t="str">
        <f ca="1">IFERROR(__xludf.DUMMYFUNCTION("""COMPUTED_VALUE"""),"")</f>
        <v/>
      </c>
      <c r="J503" s="29" t="str">
        <f ca="1">IFERROR(__xludf.DUMMYFUNCTION("""COMPUTED_VALUE"""),"")</f>
        <v/>
      </c>
      <c r="K503" s="29" t="str">
        <f ca="1">IFERROR(__xludf.DUMMYFUNCTION("""COMPUTED_VALUE"""),"")</f>
        <v/>
      </c>
      <c r="L503" s="29" t="str">
        <f ca="1">IFERROR(__xludf.DUMMYFUNCTION("""COMPUTED_VALUE"""),"")</f>
        <v/>
      </c>
      <c r="M503" s="29" t="str">
        <f ca="1">IFERROR(__xludf.DUMMYFUNCTION("""COMPUTED_VALUE"""),"")</f>
        <v/>
      </c>
      <c r="N503" s="29" t="str">
        <f ca="1">IFERROR(__xludf.DUMMYFUNCTION("""COMPUTED_VALUE"""),"")</f>
        <v/>
      </c>
    </row>
    <row r="504" spans="2:14" ht="12.5">
      <c r="B504" s="2"/>
      <c r="C504" s="2" t="str">
        <f ca="1">IFERROR(__xludf.DUMMYFUNCTION("""COMPUTED_VALUE"""),"")</f>
        <v/>
      </c>
      <c r="D504" s="2" t="str">
        <f ca="1">IFERROR(__xludf.DUMMYFUNCTION("""COMPUTED_VALUE"""),"")</f>
        <v/>
      </c>
      <c r="E504" s="29" t="str">
        <f ca="1">IFERROR(__xludf.DUMMYFUNCTION("""COMPUTED_VALUE"""),"")</f>
        <v/>
      </c>
      <c r="F504" s="30" t="str">
        <f ca="1">IFERROR(__xludf.DUMMYFUNCTION("""COMPUTED_VALUE"""),"")</f>
        <v/>
      </c>
      <c r="G504" s="29" t="str">
        <f ca="1">IFERROR(__xludf.DUMMYFUNCTION("""COMPUTED_VALUE"""),"")</f>
        <v/>
      </c>
      <c r="H504" s="30" t="str">
        <f ca="1">IFERROR(__xludf.DUMMYFUNCTION("""COMPUTED_VALUE"""),"")</f>
        <v/>
      </c>
      <c r="I504" s="29" t="str">
        <f ca="1">IFERROR(__xludf.DUMMYFUNCTION("""COMPUTED_VALUE"""),"")</f>
        <v/>
      </c>
      <c r="J504" s="29" t="str">
        <f ca="1">IFERROR(__xludf.DUMMYFUNCTION("""COMPUTED_VALUE"""),"")</f>
        <v/>
      </c>
      <c r="K504" s="29" t="str">
        <f ca="1">IFERROR(__xludf.DUMMYFUNCTION("""COMPUTED_VALUE"""),"")</f>
        <v/>
      </c>
      <c r="L504" s="29" t="str">
        <f ca="1">IFERROR(__xludf.DUMMYFUNCTION("""COMPUTED_VALUE"""),"")</f>
        <v/>
      </c>
      <c r="M504" s="29" t="str">
        <f ca="1">IFERROR(__xludf.DUMMYFUNCTION("""COMPUTED_VALUE"""),"")</f>
        <v/>
      </c>
      <c r="N504" s="29" t="str">
        <f ca="1">IFERROR(__xludf.DUMMYFUNCTION("""COMPUTED_VALUE"""),"")</f>
        <v/>
      </c>
    </row>
    <row r="505" spans="2:14" ht="12.5">
      <c r="B505" s="2"/>
      <c r="C505" s="2" t="str">
        <f ca="1">IFERROR(__xludf.DUMMYFUNCTION("""COMPUTED_VALUE"""),"")</f>
        <v/>
      </c>
      <c r="D505" s="2" t="str">
        <f ca="1">IFERROR(__xludf.DUMMYFUNCTION("""COMPUTED_VALUE"""),"")</f>
        <v/>
      </c>
      <c r="E505" s="29" t="str">
        <f ca="1">IFERROR(__xludf.DUMMYFUNCTION("""COMPUTED_VALUE"""),"")</f>
        <v/>
      </c>
      <c r="F505" s="30" t="str">
        <f ca="1">IFERROR(__xludf.DUMMYFUNCTION("""COMPUTED_VALUE"""),"")</f>
        <v/>
      </c>
      <c r="G505" s="29" t="str">
        <f ca="1">IFERROR(__xludf.DUMMYFUNCTION("""COMPUTED_VALUE"""),"")</f>
        <v/>
      </c>
      <c r="H505" s="30" t="str">
        <f ca="1">IFERROR(__xludf.DUMMYFUNCTION("""COMPUTED_VALUE"""),"")</f>
        <v/>
      </c>
      <c r="I505" s="29" t="str">
        <f ca="1">IFERROR(__xludf.DUMMYFUNCTION("""COMPUTED_VALUE"""),"")</f>
        <v/>
      </c>
      <c r="J505" s="29" t="str">
        <f ca="1">IFERROR(__xludf.DUMMYFUNCTION("""COMPUTED_VALUE"""),"")</f>
        <v/>
      </c>
      <c r="K505" s="29" t="str">
        <f ca="1">IFERROR(__xludf.DUMMYFUNCTION("""COMPUTED_VALUE"""),"")</f>
        <v/>
      </c>
      <c r="L505" s="29" t="str">
        <f ca="1">IFERROR(__xludf.DUMMYFUNCTION("""COMPUTED_VALUE"""),"")</f>
        <v/>
      </c>
      <c r="M505" s="29" t="str">
        <f ca="1">IFERROR(__xludf.DUMMYFUNCTION("""COMPUTED_VALUE"""),"")</f>
        <v/>
      </c>
      <c r="N505" s="29" t="str">
        <f ca="1">IFERROR(__xludf.DUMMYFUNCTION("""COMPUTED_VALUE"""),"")</f>
        <v/>
      </c>
    </row>
    <row r="506" spans="2:14" ht="12.5">
      <c r="B506" s="2"/>
      <c r="C506" s="2" t="str">
        <f ca="1">IFERROR(__xludf.DUMMYFUNCTION("""COMPUTED_VALUE"""),"")</f>
        <v/>
      </c>
      <c r="D506" s="2" t="str">
        <f ca="1">IFERROR(__xludf.DUMMYFUNCTION("""COMPUTED_VALUE"""),"")</f>
        <v/>
      </c>
      <c r="E506" s="29" t="str">
        <f ca="1">IFERROR(__xludf.DUMMYFUNCTION("""COMPUTED_VALUE"""),"")</f>
        <v/>
      </c>
      <c r="F506" s="30" t="str">
        <f ca="1">IFERROR(__xludf.DUMMYFUNCTION("""COMPUTED_VALUE"""),"")</f>
        <v/>
      </c>
      <c r="G506" s="29" t="str">
        <f ca="1">IFERROR(__xludf.DUMMYFUNCTION("""COMPUTED_VALUE"""),"")</f>
        <v/>
      </c>
      <c r="H506" s="30" t="str">
        <f ca="1">IFERROR(__xludf.DUMMYFUNCTION("""COMPUTED_VALUE"""),"")</f>
        <v/>
      </c>
      <c r="I506" s="29" t="str">
        <f ca="1">IFERROR(__xludf.DUMMYFUNCTION("""COMPUTED_VALUE"""),"")</f>
        <v/>
      </c>
      <c r="J506" s="29" t="str">
        <f ca="1">IFERROR(__xludf.DUMMYFUNCTION("""COMPUTED_VALUE"""),"")</f>
        <v/>
      </c>
      <c r="K506" s="29" t="str">
        <f ca="1">IFERROR(__xludf.DUMMYFUNCTION("""COMPUTED_VALUE"""),"")</f>
        <v/>
      </c>
      <c r="L506" s="29" t="str">
        <f ca="1">IFERROR(__xludf.DUMMYFUNCTION("""COMPUTED_VALUE"""),"")</f>
        <v/>
      </c>
      <c r="M506" s="29" t="str">
        <f ca="1">IFERROR(__xludf.DUMMYFUNCTION("""COMPUTED_VALUE"""),"")</f>
        <v/>
      </c>
      <c r="N506" s="29" t="str">
        <f ca="1">IFERROR(__xludf.DUMMYFUNCTION("""COMPUTED_VALUE"""),"")</f>
        <v/>
      </c>
    </row>
    <row r="507" spans="2:14" ht="12.5">
      <c r="B507" s="2" t="str">
        <f ca="1">IFERROR(__xludf.DUMMYFUNCTION("""COMPUTED_VALUE"""),"仙台育英学園高")</f>
        <v>仙台育英学園高</v>
      </c>
      <c r="C507" s="2" t="str">
        <f ca="1">IFERROR(__xludf.DUMMYFUNCTION("""COMPUTED_VALUE"""),"#N/A")</f>
        <v>#N/A</v>
      </c>
      <c r="D507" s="31">
        <f ca="1">IFERROR(__xludf.DUMMYFUNCTION("""COMPUTED_VALUE"""),7500)</f>
        <v>7500</v>
      </c>
      <c r="E507" s="29">
        <f ca="1">IFERROR(__xludf.DUMMYFUNCTION("""COMPUTED_VALUE"""),2500)</f>
        <v>2500</v>
      </c>
      <c r="F507" s="30">
        <f ca="1">IFERROR(__xludf.DUMMYFUNCTION("""COMPUTED_VALUE"""),1)</f>
        <v>1</v>
      </c>
      <c r="G507" s="29">
        <f ca="1">IFERROR(__xludf.DUMMYFUNCTION("""COMPUTED_VALUE"""),5000)</f>
        <v>5000</v>
      </c>
      <c r="H507" s="30">
        <f ca="1">IFERROR(__xludf.DUMMYFUNCTION("""COMPUTED_VALUE"""),2)</f>
        <v>2</v>
      </c>
      <c r="I507" s="29">
        <f ca="1">IFERROR(__xludf.DUMMYFUNCTION("""COMPUTED_VALUE"""),2000)</f>
        <v>2000</v>
      </c>
      <c r="J507" s="29">
        <f ca="1">IFERROR(__xludf.DUMMYFUNCTION("""COMPUTED_VALUE"""),1)</f>
        <v>1</v>
      </c>
      <c r="K507" s="29">
        <f ca="1">IFERROR(__xludf.DUMMYFUNCTION("""COMPUTED_VALUE"""),6000)</f>
        <v>6000</v>
      </c>
      <c r="L507" s="29">
        <f ca="1">IFERROR(__xludf.DUMMYFUNCTION("""COMPUTED_VALUE"""),3)</f>
        <v>3</v>
      </c>
      <c r="M507" s="29">
        <f ca="1">IFERROR(__xludf.DUMMYFUNCTION("""COMPUTED_VALUE"""),0)</f>
        <v>0</v>
      </c>
      <c r="N507" s="29">
        <f ca="1">IFERROR(__xludf.DUMMYFUNCTION("""COMPUTED_VALUE"""),0)</f>
        <v>0</v>
      </c>
    </row>
    <row r="508" spans="2:14" ht="12.5">
      <c r="B508" s="2" t="str">
        <f ca="1">IFERROR(__xludf.DUMMYFUNCTION("""COMPUTED_VALUE"""),"仙台青陵中等教育")</f>
        <v>仙台青陵中等教育</v>
      </c>
      <c r="C508" s="2" t="str">
        <f ca="1">IFERROR(__xludf.DUMMYFUNCTION("""COMPUTED_VALUE"""),"#N/A")</f>
        <v>#N/A</v>
      </c>
      <c r="D508" s="31">
        <f ca="1">IFERROR(__xludf.DUMMYFUNCTION("""COMPUTED_VALUE"""),2500)</f>
        <v>2500</v>
      </c>
      <c r="E508" s="29">
        <f ca="1">IFERROR(__xludf.DUMMYFUNCTION("""COMPUTED_VALUE"""),2500)</f>
        <v>2500</v>
      </c>
      <c r="F508" s="30">
        <f ca="1">IFERROR(__xludf.DUMMYFUNCTION("""COMPUTED_VALUE"""),1)</f>
        <v>1</v>
      </c>
      <c r="G508" s="29">
        <f ca="1">IFERROR(__xludf.DUMMYFUNCTION("""COMPUTED_VALUE"""),0)</f>
        <v>0</v>
      </c>
      <c r="H508" s="30">
        <f ca="1">IFERROR(__xludf.DUMMYFUNCTION("""COMPUTED_VALUE"""),0)</f>
        <v>0</v>
      </c>
      <c r="I508" s="29">
        <f ca="1">IFERROR(__xludf.DUMMYFUNCTION("""COMPUTED_VALUE"""),0)</f>
        <v>0</v>
      </c>
      <c r="J508" s="29">
        <f ca="1">IFERROR(__xludf.DUMMYFUNCTION("""COMPUTED_VALUE"""),0)</f>
        <v>0</v>
      </c>
      <c r="K508" s="29">
        <f ca="1">IFERROR(__xludf.DUMMYFUNCTION("""COMPUTED_VALUE"""),0)</f>
        <v>0</v>
      </c>
      <c r="L508" s="29">
        <f ca="1">IFERROR(__xludf.DUMMYFUNCTION("""COMPUTED_VALUE"""),0)</f>
        <v>0</v>
      </c>
      <c r="M508" s="29">
        <f ca="1">IFERROR(__xludf.DUMMYFUNCTION("""COMPUTED_VALUE"""),0)</f>
        <v>0</v>
      </c>
      <c r="N508" s="29">
        <f ca="1">IFERROR(__xludf.DUMMYFUNCTION("""COMPUTED_VALUE"""),0)</f>
        <v>0</v>
      </c>
    </row>
    <row r="509" spans="2:14" ht="12.5">
      <c r="B509" s="2" t="str">
        <f ca="1">IFERROR(__xludf.DUMMYFUNCTION("""COMPUTED_VALUE"""),"酒田東高")</f>
        <v>酒田東高</v>
      </c>
      <c r="C509" s="2" t="str">
        <f ca="1">IFERROR(__xludf.DUMMYFUNCTION("""COMPUTED_VALUE"""),"#N/A")</f>
        <v>#N/A</v>
      </c>
      <c r="D509" s="31">
        <f ca="1">IFERROR(__xludf.DUMMYFUNCTION("""COMPUTED_VALUE"""),2500)</f>
        <v>2500</v>
      </c>
      <c r="E509" s="29">
        <f ca="1">IFERROR(__xludf.DUMMYFUNCTION("""COMPUTED_VALUE"""),2500)</f>
        <v>2500</v>
      </c>
      <c r="F509" s="30">
        <f ca="1">IFERROR(__xludf.DUMMYFUNCTION("""COMPUTED_VALUE"""),1)</f>
        <v>1</v>
      </c>
      <c r="G509" s="29">
        <f ca="1">IFERROR(__xludf.DUMMYFUNCTION("""COMPUTED_VALUE"""),0)</f>
        <v>0</v>
      </c>
      <c r="H509" s="30">
        <f ca="1">IFERROR(__xludf.DUMMYFUNCTION("""COMPUTED_VALUE"""),0)</f>
        <v>0</v>
      </c>
      <c r="I509" s="29">
        <f ca="1">IFERROR(__xludf.DUMMYFUNCTION("""COMPUTED_VALUE"""),2000)</f>
        <v>2000</v>
      </c>
      <c r="J509" s="29">
        <f ca="1">IFERROR(__xludf.DUMMYFUNCTION("""COMPUTED_VALUE"""),1)</f>
        <v>1</v>
      </c>
      <c r="K509" s="29">
        <f ca="1">IFERROR(__xludf.DUMMYFUNCTION("""COMPUTED_VALUE"""),0)</f>
        <v>0</v>
      </c>
      <c r="L509" s="29">
        <f ca="1">IFERROR(__xludf.DUMMYFUNCTION("""COMPUTED_VALUE"""),0)</f>
        <v>0</v>
      </c>
      <c r="M509" s="29">
        <f ca="1">IFERROR(__xludf.DUMMYFUNCTION("""COMPUTED_VALUE"""),0)</f>
        <v>0</v>
      </c>
      <c r="N509" s="29">
        <f ca="1">IFERROR(__xludf.DUMMYFUNCTION("""COMPUTED_VALUE"""),0)</f>
        <v>0</v>
      </c>
    </row>
    <row r="510" spans="2:14" ht="12.5">
      <c r="B510" s="2" t="str">
        <f ca="1">IFERROR(__xludf.DUMMYFUNCTION("""COMPUTED_VALUE"""),"中央中等教育")</f>
        <v>中央中等教育</v>
      </c>
      <c r="C510" s="2" t="str">
        <f ca="1">IFERROR(__xludf.DUMMYFUNCTION("""COMPUTED_VALUE"""),"#N/A")</f>
        <v>#N/A</v>
      </c>
      <c r="D510" s="31">
        <f ca="1">IFERROR(__xludf.DUMMYFUNCTION("""COMPUTED_VALUE"""),5000)</f>
        <v>5000</v>
      </c>
      <c r="E510" s="29">
        <f ca="1">IFERROR(__xludf.DUMMYFUNCTION("""COMPUTED_VALUE"""),2500)</f>
        <v>2500</v>
      </c>
      <c r="F510" s="30">
        <f ca="1">IFERROR(__xludf.DUMMYFUNCTION("""COMPUTED_VALUE"""),1)</f>
        <v>1</v>
      </c>
      <c r="G510" s="29">
        <f ca="1">IFERROR(__xludf.DUMMYFUNCTION("""COMPUTED_VALUE"""),2500)</f>
        <v>2500</v>
      </c>
      <c r="H510" s="30">
        <f ca="1">IFERROR(__xludf.DUMMYFUNCTION("""COMPUTED_VALUE"""),1)</f>
        <v>1</v>
      </c>
      <c r="I510" s="29">
        <f ca="1">IFERROR(__xludf.DUMMYFUNCTION("""COMPUTED_VALUE"""),0)</f>
        <v>0</v>
      </c>
      <c r="J510" s="29">
        <f ca="1">IFERROR(__xludf.DUMMYFUNCTION("""COMPUTED_VALUE"""),0)</f>
        <v>0</v>
      </c>
      <c r="K510" s="29">
        <f ca="1">IFERROR(__xludf.DUMMYFUNCTION("""COMPUTED_VALUE"""),4000)</f>
        <v>4000</v>
      </c>
      <c r="L510" s="29">
        <f ca="1">IFERROR(__xludf.DUMMYFUNCTION("""COMPUTED_VALUE"""),2)</f>
        <v>2</v>
      </c>
      <c r="M510" s="29">
        <f ca="1">IFERROR(__xludf.DUMMYFUNCTION("""COMPUTED_VALUE"""),0)</f>
        <v>0</v>
      </c>
      <c r="N510" s="29">
        <f ca="1">IFERROR(__xludf.DUMMYFUNCTION("""COMPUTED_VALUE"""),0)</f>
        <v>0</v>
      </c>
    </row>
    <row r="511" spans="2:14" ht="12.5">
      <c r="B511" s="2" t="str">
        <f ca="1">IFERROR(__xludf.DUMMYFUNCTION("""COMPUTED_VALUE"""),"浦和第一女子高")</f>
        <v>浦和第一女子高</v>
      </c>
      <c r="C511" s="2" t="str">
        <f ca="1">IFERROR(__xludf.DUMMYFUNCTION("""COMPUTED_VALUE"""),"#N/A")</f>
        <v>#N/A</v>
      </c>
      <c r="D511" s="31">
        <f ca="1">IFERROR(__xludf.DUMMYFUNCTION("""COMPUTED_VALUE"""),17500)</f>
        <v>17500</v>
      </c>
      <c r="E511" s="29">
        <f ca="1">IFERROR(__xludf.DUMMYFUNCTION("""COMPUTED_VALUE"""),2500)</f>
        <v>2500</v>
      </c>
      <c r="F511" s="30">
        <f ca="1">IFERROR(__xludf.DUMMYFUNCTION("""COMPUTED_VALUE"""),1)</f>
        <v>1</v>
      </c>
      <c r="G511" s="29">
        <f ca="1">IFERROR(__xludf.DUMMYFUNCTION("""COMPUTED_VALUE"""),15000)</f>
        <v>15000</v>
      </c>
      <c r="H511" s="30">
        <f ca="1">IFERROR(__xludf.DUMMYFUNCTION("""COMPUTED_VALUE"""),6)</f>
        <v>6</v>
      </c>
      <c r="I511" s="29">
        <f ca="1">IFERROR(__xludf.DUMMYFUNCTION("""COMPUTED_VALUE"""),18000)</f>
        <v>18000</v>
      </c>
      <c r="J511" s="29">
        <f ca="1">IFERROR(__xludf.DUMMYFUNCTION("""COMPUTED_VALUE"""),9)</f>
        <v>9</v>
      </c>
      <c r="K511" s="29">
        <f ca="1">IFERROR(__xludf.DUMMYFUNCTION("""COMPUTED_VALUE"""),10000)</f>
        <v>10000</v>
      </c>
      <c r="L511" s="29">
        <f ca="1">IFERROR(__xludf.DUMMYFUNCTION("""COMPUTED_VALUE"""),5)</f>
        <v>5</v>
      </c>
      <c r="M511" s="29">
        <f ca="1">IFERROR(__xludf.DUMMYFUNCTION("""COMPUTED_VALUE"""),0)</f>
        <v>0</v>
      </c>
      <c r="N511" s="29">
        <f ca="1">IFERROR(__xludf.DUMMYFUNCTION("""COMPUTED_VALUE"""),0)</f>
        <v>0</v>
      </c>
    </row>
    <row r="512" spans="2:14" ht="12.5">
      <c r="B512" s="2" t="str">
        <f ca="1">IFERROR(__xludf.DUMMYFUNCTION("""COMPUTED_VALUE"""),"浦和明の星女子高")</f>
        <v>浦和明の星女子高</v>
      </c>
      <c r="C512" s="2" t="str">
        <f ca="1">IFERROR(__xludf.DUMMYFUNCTION("""COMPUTED_VALUE"""),"#N/A")</f>
        <v>#N/A</v>
      </c>
      <c r="D512" s="31">
        <f ca="1">IFERROR(__xludf.DUMMYFUNCTION("""COMPUTED_VALUE"""),27500)</f>
        <v>27500</v>
      </c>
      <c r="E512" s="29">
        <f ca="1">IFERROR(__xludf.DUMMYFUNCTION("""COMPUTED_VALUE"""),7500)</f>
        <v>7500</v>
      </c>
      <c r="F512" s="30">
        <f ca="1">IFERROR(__xludf.DUMMYFUNCTION("""COMPUTED_VALUE"""),3)</f>
        <v>3</v>
      </c>
      <c r="G512" s="29">
        <f ca="1">IFERROR(__xludf.DUMMYFUNCTION("""COMPUTED_VALUE"""),20000)</f>
        <v>20000</v>
      </c>
      <c r="H512" s="30">
        <f ca="1">IFERROR(__xludf.DUMMYFUNCTION("""COMPUTED_VALUE"""),8)</f>
        <v>8</v>
      </c>
      <c r="I512" s="29">
        <f ca="1">IFERROR(__xludf.DUMMYFUNCTION("""COMPUTED_VALUE"""),16000)</f>
        <v>16000</v>
      </c>
      <c r="J512" s="29">
        <f ca="1">IFERROR(__xludf.DUMMYFUNCTION("""COMPUTED_VALUE"""),8)</f>
        <v>8</v>
      </c>
      <c r="K512" s="29">
        <f ca="1">IFERROR(__xludf.DUMMYFUNCTION("""COMPUTED_VALUE"""),10000)</f>
        <v>10000</v>
      </c>
      <c r="L512" s="29">
        <f ca="1">IFERROR(__xludf.DUMMYFUNCTION("""COMPUTED_VALUE"""),5)</f>
        <v>5</v>
      </c>
      <c r="M512" s="29">
        <f ca="1">IFERROR(__xludf.DUMMYFUNCTION("""COMPUTED_VALUE"""),0)</f>
        <v>0</v>
      </c>
      <c r="N512" s="29">
        <f ca="1">IFERROR(__xludf.DUMMYFUNCTION("""COMPUTED_VALUE"""),0)</f>
        <v>0</v>
      </c>
    </row>
    <row r="513" spans="2:14" ht="12.5">
      <c r="B513" s="2" t="str">
        <f ca="1">IFERROR(__xludf.DUMMYFUNCTION("""COMPUTED_VALUE"""),"開智高")</f>
        <v>開智高</v>
      </c>
      <c r="C513" s="2" t="str">
        <f ca="1">IFERROR(__xludf.DUMMYFUNCTION("""COMPUTED_VALUE"""),"#N/A")</f>
        <v>#N/A</v>
      </c>
      <c r="D513" s="31">
        <f ca="1">IFERROR(__xludf.DUMMYFUNCTION("""COMPUTED_VALUE"""),2500)</f>
        <v>2500</v>
      </c>
      <c r="E513" s="29">
        <f ca="1">IFERROR(__xludf.DUMMYFUNCTION("""COMPUTED_VALUE"""),2500)</f>
        <v>2500</v>
      </c>
      <c r="F513" s="30">
        <f ca="1">IFERROR(__xludf.DUMMYFUNCTION("""COMPUTED_VALUE"""),1)</f>
        <v>1</v>
      </c>
      <c r="G513" s="29">
        <f ca="1">IFERROR(__xludf.DUMMYFUNCTION("""COMPUTED_VALUE"""),0)</f>
        <v>0</v>
      </c>
      <c r="H513" s="30">
        <f ca="1">IFERROR(__xludf.DUMMYFUNCTION("""COMPUTED_VALUE"""),0)</f>
        <v>0</v>
      </c>
      <c r="I513" s="29">
        <f ca="1">IFERROR(__xludf.DUMMYFUNCTION("""COMPUTED_VALUE"""),0)</f>
        <v>0</v>
      </c>
      <c r="J513" s="29">
        <f ca="1">IFERROR(__xludf.DUMMYFUNCTION("""COMPUTED_VALUE"""),0)</f>
        <v>0</v>
      </c>
      <c r="K513" s="29">
        <f ca="1">IFERROR(__xludf.DUMMYFUNCTION("""COMPUTED_VALUE"""),6000)</f>
        <v>6000</v>
      </c>
      <c r="L513" s="29">
        <f ca="1">IFERROR(__xludf.DUMMYFUNCTION("""COMPUTED_VALUE"""),3)</f>
        <v>3</v>
      </c>
      <c r="M513" s="29">
        <f ca="1">IFERROR(__xludf.DUMMYFUNCTION("""COMPUTED_VALUE"""),0)</f>
        <v>0</v>
      </c>
      <c r="N513" s="29">
        <f ca="1">IFERROR(__xludf.DUMMYFUNCTION("""COMPUTED_VALUE"""),0)</f>
        <v>0</v>
      </c>
    </row>
    <row r="514" spans="2:14" ht="12.5">
      <c r="B514" s="2" t="str">
        <f ca="1">IFERROR(__xludf.DUMMYFUNCTION("""COMPUTED_VALUE"""),"浦和西高")</f>
        <v>浦和西高</v>
      </c>
      <c r="C514" s="2" t="str">
        <f ca="1">IFERROR(__xludf.DUMMYFUNCTION("""COMPUTED_VALUE"""),"#N/A")</f>
        <v>#N/A</v>
      </c>
      <c r="D514" s="31">
        <f ca="1">IFERROR(__xludf.DUMMYFUNCTION("""COMPUTED_VALUE"""),5000)</f>
        <v>5000</v>
      </c>
      <c r="E514" s="29">
        <f ca="1">IFERROR(__xludf.DUMMYFUNCTION("""COMPUTED_VALUE"""),2500)</f>
        <v>2500</v>
      </c>
      <c r="F514" s="30">
        <f ca="1">IFERROR(__xludf.DUMMYFUNCTION("""COMPUTED_VALUE"""),1)</f>
        <v>1</v>
      </c>
      <c r="G514" s="29">
        <f ca="1">IFERROR(__xludf.DUMMYFUNCTION("""COMPUTED_VALUE"""),2500)</f>
        <v>2500</v>
      </c>
      <c r="H514" s="30">
        <f ca="1">IFERROR(__xludf.DUMMYFUNCTION("""COMPUTED_VALUE"""),1)</f>
        <v>1</v>
      </c>
      <c r="I514" s="29">
        <f ca="1">IFERROR(__xludf.DUMMYFUNCTION("""COMPUTED_VALUE"""),2000)</f>
        <v>2000</v>
      </c>
      <c r="J514" s="29">
        <f ca="1">IFERROR(__xludf.DUMMYFUNCTION("""COMPUTED_VALUE"""),1)</f>
        <v>1</v>
      </c>
      <c r="K514" s="29">
        <f ca="1">IFERROR(__xludf.DUMMYFUNCTION("""COMPUTED_VALUE"""),2000)</f>
        <v>2000</v>
      </c>
      <c r="L514" s="29">
        <f ca="1">IFERROR(__xludf.DUMMYFUNCTION("""COMPUTED_VALUE"""),1)</f>
        <v>1</v>
      </c>
      <c r="M514" s="29">
        <f ca="1">IFERROR(__xludf.DUMMYFUNCTION("""COMPUTED_VALUE"""),0)</f>
        <v>0</v>
      </c>
      <c r="N514" s="29">
        <f ca="1">IFERROR(__xludf.DUMMYFUNCTION("""COMPUTED_VALUE"""),0)</f>
        <v>0</v>
      </c>
    </row>
    <row r="515" spans="2:14" ht="12.5">
      <c r="B515" s="2" t="str">
        <f ca="1">IFERROR(__xludf.DUMMYFUNCTION("""COMPUTED_VALUE"""),"星野高")</f>
        <v>星野高</v>
      </c>
      <c r="C515" s="2" t="str">
        <f ca="1">IFERROR(__xludf.DUMMYFUNCTION("""COMPUTED_VALUE"""),"#N/A")</f>
        <v>#N/A</v>
      </c>
      <c r="D515" s="31">
        <f ca="1">IFERROR(__xludf.DUMMYFUNCTION("""COMPUTED_VALUE"""),20000)</f>
        <v>20000</v>
      </c>
      <c r="E515" s="29">
        <f ca="1">IFERROR(__xludf.DUMMYFUNCTION("""COMPUTED_VALUE"""),2500)</f>
        <v>2500</v>
      </c>
      <c r="F515" s="30">
        <f ca="1">IFERROR(__xludf.DUMMYFUNCTION("""COMPUTED_VALUE"""),1)</f>
        <v>1</v>
      </c>
      <c r="G515" s="29">
        <f ca="1">IFERROR(__xludf.DUMMYFUNCTION("""COMPUTED_VALUE"""),17500)</f>
        <v>17500</v>
      </c>
      <c r="H515" s="30">
        <f ca="1">IFERROR(__xludf.DUMMYFUNCTION("""COMPUTED_VALUE"""),7)</f>
        <v>7</v>
      </c>
      <c r="I515" s="29">
        <f ca="1">IFERROR(__xludf.DUMMYFUNCTION("""COMPUTED_VALUE"""),14000)</f>
        <v>14000</v>
      </c>
      <c r="J515" s="29">
        <f ca="1">IFERROR(__xludf.DUMMYFUNCTION("""COMPUTED_VALUE"""),7)</f>
        <v>7</v>
      </c>
      <c r="K515" s="29">
        <f ca="1">IFERROR(__xludf.DUMMYFUNCTION("""COMPUTED_VALUE"""),4000)</f>
        <v>4000</v>
      </c>
      <c r="L515" s="29">
        <f ca="1">IFERROR(__xludf.DUMMYFUNCTION("""COMPUTED_VALUE"""),2)</f>
        <v>2</v>
      </c>
      <c r="M515" s="29">
        <f ca="1">IFERROR(__xludf.DUMMYFUNCTION("""COMPUTED_VALUE"""),0)</f>
        <v>0</v>
      </c>
      <c r="N515" s="29">
        <f ca="1">IFERROR(__xludf.DUMMYFUNCTION("""COMPUTED_VALUE"""),0)</f>
        <v>0</v>
      </c>
    </row>
    <row r="516" spans="2:14" ht="12.5">
      <c r="B516" s="2" t="str">
        <f ca="1">IFERROR(__xludf.DUMMYFUNCTION("""COMPUTED_VALUE"""),"市川高")</f>
        <v>市川高</v>
      </c>
      <c r="C516" s="2" t="str">
        <f ca="1">IFERROR(__xludf.DUMMYFUNCTION("""COMPUTED_VALUE"""),"#N/A")</f>
        <v>#N/A</v>
      </c>
      <c r="D516" s="31">
        <f ca="1">IFERROR(__xludf.DUMMYFUNCTION("""COMPUTED_VALUE"""),7500)</f>
        <v>7500</v>
      </c>
      <c r="E516" s="29">
        <f ca="1">IFERROR(__xludf.DUMMYFUNCTION("""COMPUTED_VALUE"""),5000)</f>
        <v>5000</v>
      </c>
      <c r="F516" s="30">
        <f ca="1">IFERROR(__xludf.DUMMYFUNCTION("""COMPUTED_VALUE"""),2)</f>
        <v>2</v>
      </c>
      <c r="G516" s="29">
        <f ca="1">IFERROR(__xludf.DUMMYFUNCTION("""COMPUTED_VALUE"""),2500)</f>
        <v>2500</v>
      </c>
      <c r="H516" s="30">
        <f ca="1">IFERROR(__xludf.DUMMYFUNCTION("""COMPUTED_VALUE"""),1)</f>
        <v>1</v>
      </c>
      <c r="I516" s="29">
        <f ca="1">IFERROR(__xludf.DUMMYFUNCTION("""COMPUTED_VALUE"""),8000)</f>
        <v>8000</v>
      </c>
      <c r="J516" s="29">
        <f ca="1">IFERROR(__xludf.DUMMYFUNCTION("""COMPUTED_VALUE"""),4)</f>
        <v>4</v>
      </c>
      <c r="K516" s="29">
        <f ca="1">IFERROR(__xludf.DUMMYFUNCTION("""COMPUTED_VALUE"""),2000)</f>
        <v>2000</v>
      </c>
      <c r="L516" s="29">
        <f ca="1">IFERROR(__xludf.DUMMYFUNCTION("""COMPUTED_VALUE"""),1)</f>
        <v>1</v>
      </c>
      <c r="M516" s="29">
        <f ca="1">IFERROR(__xludf.DUMMYFUNCTION("""COMPUTED_VALUE"""),0)</f>
        <v>0</v>
      </c>
      <c r="N516" s="29">
        <f ca="1">IFERROR(__xludf.DUMMYFUNCTION("""COMPUTED_VALUE"""),0)</f>
        <v>0</v>
      </c>
    </row>
    <row r="517" spans="2:14" ht="12.5">
      <c r="B517" s="2" t="str">
        <f ca="1">IFERROR(__xludf.DUMMYFUNCTION("""COMPUTED_VALUE"""),"成田高")</f>
        <v>成田高</v>
      </c>
      <c r="C517" s="2" t="str">
        <f ca="1">IFERROR(__xludf.DUMMYFUNCTION("""COMPUTED_VALUE"""),"#N/A")</f>
        <v>#N/A</v>
      </c>
      <c r="D517" s="31">
        <f ca="1">IFERROR(__xludf.DUMMYFUNCTION("""COMPUTED_VALUE"""),2500)</f>
        <v>2500</v>
      </c>
      <c r="E517" s="29">
        <f ca="1">IFERROR(__xludf.DUMMYFUNCTION("""COMPUTED_VALUE"""),2500)</f>
        <v>2500</v>
      </c>
      <c r="F517" s="30">
        <f ca="1">IFERROR(__xludf.DUMMYFUNCTION("""COMPUTED_VALUE"""),1)</f>
        <v>1</v>
      </c>
      <c r="G517" s="29">
        <f ca="1">IFERROR(__xludf.DUMMYFUNCTION("""COMPUTED_VALUE"""),0)</f>
        <v>0</v>
      </c>
      <c r="H517" s="30">
        <f ca="1">IFERROR(__xludf.DUMMYFUNCTION("""COMPUTED_VALUE"""),0)</f>
        <v>0</v>
      </c>
      <c r="I517" s="29">
        <f ca="1">IFERROR(__xludf.DUMMYFUNCTION("""COMPUTED_VALUE"""),4000)</f>
        <v>4000</v>
      </c>
      <c r="J517" s="29">
        <f ca="1">IFERROR(__xludf.DUMMYFUNCTION("""COMPUTED_VALUE"""),2)</f>
        <v>2</v>
      </c>
      <c r="K517" s="29">
        <f ca="1">IFERROR(__xludf.DUMMYFUNCTION("""COMPUTED_VALUE"""),0)</f>
        <v>0</v>
      </c>
      <c r="L517" s="29">
        <f ca="1">IFERROR(__xludf.DUMMYFUNCTION("""COMPUTED_VALUE"""),0)</f>
        <v>0</v>
      </c>
      <c r="M517" s="29">
        <f ca="1">IFERROR(__xludf.DUMMYFUNCTION("""COMPUTED_VALUE"""),0)</f>
        <v>0</v>
      </c>
      <c r="N517" s="29">
        <f ca="1">IFERROR(__xludf.DUMMYFUNCTION("""COMPUTED_VALUE"""),0)</f>
        <v>0</v>
      </c>
    </row>
    <row r="518" spans="2:14" ht="12.5">
      <c r="B518" s="2" t="str">
        <f ca="1">IFERROR(__xludf.DUMMYFUNCTION("""COMPUTED_VALUE"""),"鎌ヶ谷高")</f>
        <v>鎌ヶ谷高</v>
      </c>
      <c r="C518" s="2" t="str">
        <f ca="1">IFERROR(__xludf.DUMMYFUNCTION("""COMPUTED_VALUE"""),"#N/A")</f>
        <v>#N/A</v>
      </c>
      <c r="D518" s="31">
        <f ca="1">IFERROR(__xludf.DUMMYFUNCTION("""COMPUTED_VALUE"""),7500)</f>
        <v>7500</v>
      </c>
      <c r="E518" s="29">
        <f ca="1">IFERROR(__xludf.DUMMYFUNCTION("""COMPUTED_VALUE"""),2500)</f>
        <v>2500</v>
      </c>
      <c r="F518" s="30">
        <f ca="1">IFERROR(__xludf.DUMMYFUNCTION("""COMPUTED_VALUE"""),1)</f>
        <v>1</v>
      </c>
      <c r="G518" s="29">
        <f ca="1">IFERROR(__xludf.DUMMYFUNCTION("""COMPUTED_VALUE"""),5000)</f>
        <v>5000</v>
      </c>
      <c r="H518" s="30">
        <f ca="1">IFERROR(__xludf.DUMMYFUNCTION("""COMPUTED_VALUE"""),2)</f>
        <v>2</v>
      </c>
      <c r="I518" s="29">
        <f ca="1">IFERROR(__xludf.DUMMYFUNCTION("""COMPUTED_VALUE"""),6000)</f>
        <v>6000</v>
      </c>
      <c r="J518" s="29">
        <f ca="1">IFERROR(__xludf.DUMMYFUNCTION("""COMPUTED_VALUE"""),3)</f>
        <v>3</v>
      </c>
      <c r="K518" s="29">
        <f ca="1">IFERROR(__xludf.DUMMYFUNCTION("""COMPUTED_VALUE"""),4000)</f>
        <v>4000</v>
      </c>
      <c r="L518" s="29">
        <f ca="1">IFERROR(__xludf.DUMMYFUNCTION("""COMPUTED_VALUE"""),2)</f>
        <v>2</v>
      </c>
      <c r="M518" s="29">
        <f ca="1">IFERROR(__xludf.DUMMYFUNCTION("""COMPUTED_VALUE"""),0)</f>
        <v>0</v>
      </c>
      <c r="N518" s="29">
        <f ca="1">IFERROR(__xludf.DUMMYFUNCTION("""COMPUTED_VALUE"""),0)</f>
        <v>0</v>
      </c>
    </row>
    <row r="519" spans="2:14" ht="12.5">
      <c r="B519" s="2" t="str">
        <f ca="1">IFERROR(__xludf.DUMMYFUNCTION("""COMPUTED_VALUE"""),"流通経大付柏高")</f>
        <v>流通経大付柏高</v>
      </c>
      <c r="C519" s="2" t="str">
        <f ca="1">IFERROR(__xludf.DUMMYFUNCTION("""COMPUTED_VALUE"""),"#N/A")</f>
        <v>#N/A</v>
      </c>
      <c r="D519" s="31">
        <f ca="1">IFERROR(__xludf.DUMMYFUNCTION("""COMPUTED_VALUE"""),2500)</f>
        <v>2500</v>
      </c>
      <c r="E519" s="29">
        <f ca="1">IFERROR(__xludf.DUMMYFUNCTION("""COMPUTED_VALUE"""),2500)</f>
        <v>2500</v>
      </c>
      <c r="F519" s="30">
        <f ca="1">IFERROR(__xludf.DUMMYFUNCTION("""COMPUTED_VALUE"""),1)</f>
        <v>1</v>
      </c>
      <c r="G519" s="29">
        <f ca="1">IFERROR(__xludf.DUMMYFUNCTION("""COMPUTED_VALUE"""),0)</f>
        <v>0</v>
      </c>
      <c r="H519" s="30">
        <f ca="1">IFERROR(__xludf.DUMMYFUNCTION("""COMPUTED_VALUE"""),0)</f>
        <v>0</v>
      </c>
      <c r="I519" s="29">
        <f ca="1">IFERROR(__xludf.DUMMYFUNCTION("""COMPUTED_VALUE"""),22000)</f>
        <v>22000</v>
      </c>
      <c r="J519" s="29">
        <f ca="1">IFERROR(__xludf.DUMMYFUNCTION("""COMPUTED_VALUE"""),11)</f>
        <v>11</v>
      </c>
      <c r="K519" s="29">
        <f ca="1">IFERROR(__xludf.DUMMYFUNCTION("""COMPUTED_VALUE"""),2000)</f>
        <v>2000</v>
      </c>
      <c r="L519" s="29">
        <f ca="1">IFERROR(__xludf.DUMMYFUNCTION("""COMPUTED_VALUE"""),1)</f>
        <v>1</v>
      </c>
      <c r="M519" s="29">
        <f ca="1">IFERROR(__xludf.DUMMYFUNCTION("""COMPUTED_VALUE"""),0)</f>
        <v>0</v>
      </c>
      <c r="N519" s="29">
        <f ca="1">IFERROR(__xludf.DUMMYFUNCTION("""COMPUTED_VALUE"""),0)</f>
        <v>0</v>
      </c>
    </row>
    <row r="520" spans="2:14" ht="12.5">
      <c r="B520" s="2" t="str">
        <f ca="1">IFERROR(__xludf.DUMMYFUNCTION("""COMPUTED_VALUE"""),"安田学園高")</f>
        <v>安田学園高</v>
      </c>
      <c r="C520" s="2" t="str">
        <f ca="1">IFERROR(__xludf.DUMMYFUNCTION("""COMPUTED_VALUE"""),"#N/A")</f>
        <v>#N/A</v>
      </c>
      <c r="D520" s="31">
        <f ca="1">IFERROR(__xludf.DUMMYFUNCTION("""COMPUTED_VALUE"""),2500)</f>
        <v>2500</v>
      </c>
      <c r="E520" s="29">
        <f ca="1">IFERROR(__xludf.DUMMYFUNCTION("""COMPUTED_VALUE"""),2500)</f>
        <v>2500</v>
      </c>
      <c r="F520" s="30">
        <f ca="1">IFERROR(__xludf.DUMMYFUNCTION("""COMPUTED_VALUE"""),1)</f>
        <v>1</v>
      </c>
      <c r="G520" s="29">
        <f ca="1">IFERROR(__xludf.DUMMYFUNCTION("""COMPUTED_VALUE"""),0)</f>
        <v>0</v>
      </c>
      <c r="H520" s="30">
        <f ca="1">IFERROR(__xludf.DUMMYFUNCTION("""COMPUTED_VALUE"""),0)</f>
        <v>0</v>
      </c>
      <c r="I520" s="29">
        <f ca="1">IFERROR(__xludf.DUMMYFUNCTION("""COMPUTED_VALUE"""),0)</f>
        <v>0</v>
      </c>
      <c r="J520" s="29">
        <f ca="1">IFERROR(__xludf.DUMMYFUNCTION("""COMPUTED_VALUE"""),0)</f>
        <v>0</v>
      </c>
      <c r="K520" s="29">
        <f ca="1">IFERROR(__xludf.DUMMYFUNCTION("""COMPUTED_VALUE"""),0)</f>
        <v>0</v>
      </c>
      <c r="L520" s="29">
        <f ca="1">IFERROR(__xludf.DUMMYFUNCTION("""COMPUTED_VALUE"""),0)</f>
        <v>0</v>
      </c>
      <c r="M520" s="29">
        <f ca="1">IFERROR(__xludf.DUMMYFUNCTION("""COMPUTED_VALUE"""),0)</f>
        <v>0</v>
      </c>
      <c r="N520" s="29">
        <f ca="1">IFERROR(__xludf.DUMMYFUNCTION("""COMPUTED_VALUE"""),0)</f>
        <v>0</v>
      </c>
    </row>
    <row r="521" spans="2:14" ht="12.5">
      <c r="B521" s="2" t="str">
        <f ca="1">IFERROR(__xludf.DUMMYFUNCTION("""COMPUTED_VALUE"""),"海城高")</f>
        <v>海城高</v>
      </c>
      <c r="C521" s="2" t="str">
        <f ca="1">IFERROR(__xludf.DUMMYFUNCTION("""COMPUTED_VALUE"""),"#N/A")</f>
        <v>#N/A</v>
      </c>
      <c r="D521" s="31">
        <f ca="1">IFERROR(__xludf.DUMMYFUNCTION("""COMPUTED_VALUE"""),10000)</f>
        <v>10000</v>
      </c>
      <c r="E521" s="29">
        <f ca="1">IFERROR(__xludf.DUMMYFUNCTION("""COMPUTED_VALUE"""),2500)</f>
        <v>2500</v>
      </c>
      <c r="F521" s="30">
        <f ca="1">IFERROR(__xludf.DUMMYFUNCTION("""COMPUTED_VALUE"""),1)</f>
        <v>1</v>
      </c>
      <c r="G521" s="29">
        <f ca="1">IFERROR(__xludf.DUMMYFUNCTION("""COMPUTED_VALUE"""),7500)</f>
        <v>7500</v>
      </c>
      <c r="H521" s="30">
        <f ca="1">IFERROR(__xludf.DUMMYFUNCTION("""COMPUTED_VALUE"""),3)</f>
        <v>3</v>
      </c>
      <c r="I521" s="29">
        <f ca="1">IFERROR(__xludf.DUMMYFUNCTION("""COMPUTED_VALUE"""),4000)</f>
        <v>4000</v>
      </c>
      <c r="J521" s="29">
        <f ca="1">IFERROR(__xludf.DUMMYFUNCTION("""COMPUTED_VALUE"""),2)</f>
        <v>2</v>
      </c>
      <c r="K521" s="29">
        <f ca="1">IFERROR(__xludf.DUMMYFUNCTION("""COMPUTED_VALUE"""),4000)</f>
        <v>4000</v>
      </c>
      <c r="L521" s="29">
        <f ca="1">IFERROR(__xludf.DUMMYFUNCTION("""COMPUTED_VALUE"""),2)</f>
        <v>2</v>
      </c>
      <c r="M521" s="29">
        <f ca="1">IFERROR(__xludf.DUMMYFUNCTION("""COMPUTED_VALUE"""),0)</f>
        <v>0</v>
      </c>
      <c r="N521" s="29">
        <f ca="1">IFERROR(__xludf.DUMMYFUNCTION("""COMPUTED_VALUE"""),0)</f>
        <v>0</v>
      </c>
    </row>
    <row r="522" spans="2:14" ht="12.5">
      <c r="B522" s="2" t="str">
        <f ca="1">IFERROR(__xludf.DUMMYFUNCTION("""COMPUTED_VALUE"""),"関東一高")</f>
        <v>関東一高</v>
      </c>
      <c r="C522" s="2" t="str">
        <f ca="1">IFERROR(__xludf.DUMMYFUNCTION("""COMPUTED_VALUE"""),"#N/A")</f>
        <v>#N/A</v>
      </c>
      <c r="D522" s="31">
        <f ca="1">IFERROR(__xludf.DUMMYFUNCTION("""COMPUTED_VALUE"""),22500)</f>
        <v>22500</v>
      </c>
      <c r="E522" s="29">
        <f ca="1">IFERROR(__xludf.DUMMYFUNCTION("""COMPUTED_VALUE"""),2500)</f>
        <v>2500</v>
      </c>
      <c r="F522" s="30">
        <f ca="1">IFERROR(__xludf.DUMMYFUNCTION("""COMPUTED_VALUE"""),1)</f>
        <v>1</v>
      </c>
      <c r="G522" s="29">
        <f ca="1">IFERROR(__xludf.DUMMYFUNCTION("""COMPUTED_VALUE"""),20000)</f>
        <v>20000</v>
      </c>
      <c r="H522" s="30">
        <f ca="1">IFERROR(__xludf.DUMMYFUNCTION("""COMPUTED_VALUE"""),8)</f>
        <v>8</v>
      </c>
      <c r="I522" s="29">
        <f ca="1">IFERROR(__xludf.DUMMYFUNCTION("""COMPUTED_VALUE"""),24000)</f>
        <v>24000</v>
      </c>
      <c r="J522" s="29">
        <f ca="1">IFERROR(__xludf.DUMMYFUNCTION("""COMPUTED_VALUE"""),12)</f>
        <v>12</v>
      </c>
      <c r="K522" s="29">
        <f ca="1">IFERROR(__xludf.DUMMYFUNCTION("""COMPUTED_VALUE"""),26000)</f>
        <v>26000</v>
      </c>
      <c r="L522" s="29">
        <f ca="1">IFERROR(__xludf.DUMMYFUNCTION("""COMPUTED_VALUE"""),13)</f>
        <v>13</v>
      </c>
      <c r="M522" s="29">
        <f ca="1">IFERROR(__xludf.DUMMYFUNCTION("""COMPUTED_VALUE"""),0)</f>
        <v>0</v>
      </c>
      <c r="N522" s="29">
        <f ca="1">IFERROR(__xludf.DUMMYFUNCTION("""COMPUTED_VALUE"""),0)</f>
        <v>0</v>
      </c>
    </row>
    <row r="523" spans="2:14" ht="12.5">
      <c r="B523" s="2" t="str">
        <f ca="1">IFERROR(__xludf.DUMMYFUNCTION("""COMPUTED_VALUE"""),"暁星高")</f>
        <v>暁星高</v>
      </c>
      <c r="C523" s="2" t="str">
        <f ca="1">IFERROR(__xludf.DUMMYFUNCTION("""COMPUTED_VALUE"""),"#N/A")</f>
        <v>#N/A</v>
      </c>
      <c r="D523" s="31">
        <f ca="1">IFERROR(__xludf.DUMMYFUNCTION("""COMPUTED_VALUE"""),5000)</f>
        <v>5000</v>
      </c>
      <c r="E523" s="29">
        <f ca="1">IFERROR(__xludf.DUMMYFUNCTION("""COMPUTED_VALUE"""),2500)</f>
        <v>2500</v>
      </c>
      <c r="F523" s="30">
        <f ca="1">IFERROR(__xludf.DUMMYFUNCTION("""COMPUTED_VALUE"""),1)</f>
        <v>1</v>
      </c>
      <c r="G523" s="29">
        <f ca="1">IFERROR(__xludf.DUMMYFUNCTION("""COMPUTED_VALUE"""),2500)</f>
        <v>2500</v>
      </c>
      <c r="H523" s="30">
        <f ca="1">IFERROR(__xludf.DUMMYFUNCTION("""COMPUTED_VALUE"""),1)</f>
        <v>1</v>
      </c>
      <c r="I523" s="29">
        <f ca="1">IFERROR(__xludf.DUMMYFUNCTION("""COMPUTED_VALUE"""),4000)</f>
        <v>4000</v>
      </c>
      <c r="J523" s="29">
        <f ca="1">IFERROR(__xludf.DUMMYFUNCTION("""COMPUTED_VALUE"""),2)</f>
        <v>2</v>
      </c>
      <c r="K523" s="29">
        <f ca="1">IFERROR(__xludf.DUMMYFUNCTION("""COMPUTED_VALUE"""),0)</f>
        <v>0</v>
      </c>
      <c r="L523" s="29">
        <f ca="1">IFERROR(__xludf.DUMMYFUNCTION("""COMPUTED_VALUE"""),0)</f>
        <v>0</v>
      </c>
      <c r="M523" s="29">
        <f ca="1">IFERROR(__xludf.DUMMYFUNCTION("""COMPUTED_VALUE"""),0)</f>
        <v>0</v>
      </c>
      <c r="N523" s="29">
        <f ca="1">IFERROR(__xludf.DUMMYFUNCTION("""COMPUTED_VALUE"""),0)</f>
        <v>0</v>
      </c>
    </row>
    <row r="524" spans="2:14" ht="12.5">
      <c r="B524" s="2" t="str">
        <f ca="1">IFERROR(__xludf.DUMMYFUNCTION("""COMPUTED_VALUE"""),"渋谷教育学園渋谷高")</f>
        <v>渋谷教育学園渋谷高</v>
      </c>
      <c r="C524" s="2" t="str">
        <f ca="1">IFERROR(__xludf.DUMMYFUNCTION("""COMPUTED_VALUE"""),"#N/A")</f>
        <v>#N/A</v>
      </c>
      <c r="D524" s="31">
        <f ca="1">IFERROR(__xludf.DUMMYFUNCTION("""COMPUTED_VALUE"""),5000)</f>
        <v>5000</v>
      </c>
      <c r="E524" s="29">
        <f ca="1">IFERROR(__xludf.DUMMYFUNCTION("""COMPUTED_VALUE"""),2500)</f>
        <v>2500</v>
      </c>
      <c r="F524" s="30">
        <f ca="1">IFERROR(__xludf.DUMMYFUNCTION("""COMPUTED_VALUE"""),1)</f>
        <v>1</v>
      </c>
      <c r="G524" s="29">
        <f ca="1">IFERROR(__xludf.DUMMYFUNCTION("""COMPUTED_VALUE"""),2500)</f>
        <v>2500</v>
      </c>
      <c r="H524" s="30">
        <f ca="1">IFERROR(__xludf.DUMMYFUNCTION("""COMPUTED_VALUE"""),1)</f>
        <v>1</v>
      </c>
      <c r="I524" s="29">
        <f ca="1">IFERROR(__xludf.DUMMYFUNCTION("""COMPUTED_VALUE"""),8000)</f>
        <v>8000</v>
      </c>
      <c r="J524" s="29">
        <f ca="1">IFERROR(__xludf.DUMMYFUNCTION("""COMPUTED_VALUE"""),4)</f>
        <v>4</v>
      </c>
      <c r="K524" s="29">
        <f ca="1">IFERROR(__xludf.DUMMYFUNCTION("""COMPUTED_VALUE"""),0)</f>
        <v>0</v>
      </c>
      <c r="L524" s="29">
        <f ca="1">IFERROR(__xludf.DUMMYFUNCTION("""COMPUTED_VALUE"""),0)</f>
        <v>0</v>
      </c>
      <c r="M524" s="29">
        <f ca="1">IFERROR(__xludf.DUMMYFUNCTION("""COMPUTED_VALUE"""),0)</f>
        <v>0</v>
      </c>
      <c r="N524" s="29">
        <f ca="1">IFERROR(__xludf.DUMMYFUNCTION("""COMPUTED_VALUE"""),0)</f>
        <v>0</v>
      </c>
    </row>
    <row r="525" spans="2:14" ht="12.5">
      <c r="B525" s="2" t="str">
        <f ca="1">IFERROR(__xludf.DUMMYFUNCTION("""COMPUTED_VALUE"""),"駒場高")</f>
        <v>駒場高</v>
      </c>
      <c r="C525" s="2" t="str">
        <f ca="1">IFERROR(__xludf.DUMMYFUNCTION("""COMPUTED_VALUE"""),"#N/A")</f>
        <v>#N/A</v>
      </c>
      <c r="D525" s="31">
        <f ca="1">IFERROR(__xludf.DUMMYFUNCTION("""COMPUTED_VALUE"""),5000)</f>
        <v>5000</v>
      </c>
      <c r="E525" s="29">
        <f ca="1">IFERROR(__xludf.DUMMYFUNCTION("""COMPUTED_VALUE"""),2500)</f>
        <v>2500</v>
      </c>
      <c r="F525" s="30">
        <f ca="1">IFERROR(__xludf.DUMMYFUNCTION("""COMPUTED_VALUE"""),1)</f>
        <v>1</v>
      </c>
      <c r="G525" s="29">
        <f ca="1">IFERROR(__xludf.DUMMYFUNCTION("""COMPUTED_VALUE"""),2500)</f>
        <v>2500</v>
      </c>
      <c r="H525" s="30">
        <f ca="1">IFERROR(__xludf.DUMMYFUNCTION("""COMPUTED_VALUE"""),1)</f>
        <v>1</v>
      </c>
      <c r="I525" s="29">
        <f ca="1">IFERROR(__xludf.DUMMYFUNCTION("""COMPUTED_VALUE"""),0)</f>
        <v>0</v>
      </c>
      <c r="J525" s="29">
        <f ca="1">IFERROR(__xludf.DUMMYFUNCTION("""COMPUTED_VALUE"""),0)</f>
        <v>0</v>
      </c>
      <c r="K525" s="29">
        <f ca="1">IFERROR(__xludf.DUMMYFUNCTION("""COMPUTED_VALUE"""),0)</f>
        <v>0</v>
      </c>
      <c r="L525" s="29">
        <f ca="1">IFERROR(__xludf.DUMMYFUNCTION("""COMPUTED_VALUE"""),0)</f>
        <v>0</v>
      </c>
      <c r="M525" s="29">
        <f ca="1">IFERROR(__xludf.DUMMYFUNCTION("""COMPUTED_VALUE"""),0)</f>
        <v>0</v>
      </c>
      <c r="N525" s="29">
        <f ca="1">IFERROR(__xludf.DUMMYFUNCTION("""COMPUTED_VALUE"""),0)</f>
        <v>0</v>
      </c>
    </row>
    <row r="526" spans="2:14" ht="12.5">
      <c r="B526" s="2" t="str">
        <f ca="1">IFERROR(__xludf.DUMMYFUNCTION("""COMPUTED_VALUE"""),"南多摩中等教育")</f>
        <v>南多摩中等教育</v>
      </c>
      <c r="C526" s="2" t="str">
        <f ca="1">IFERROR(__xludf.DUMMYFUNCTION("""COMPUTED_VALUE"""),"#N/A")</f>
        <v>#N/A</v>
      </c>
      <c r="D526" s="31">
        <f ca="1">IFERROR(__xludf.DUMMYFUNCTION("""COMPUTED_VALUE"""),2500)</f>
        <v>2500</v>
      </c>
      <c r="E526" s="29">
        <f ca="1">IFERROR(__xludf.DUMMYFUNCTION("""COMPUTED_VALUE"""),2500)</f>
        <v>2500</v>
      </c>
      <c r="F526" s="30">
        <f ca="1">IFERROR(__xludf.DUMMYFUNCTION("""COMPUTED_VALUE"""),1)</f>
        <v>1</v>
      </c>
      <c r="G526" s="29">
        <f ca="1">IFERROR(__xludf.DUMMYFUNCTION("""COMPUTED_VALUE"""),0)</f>
        <v>0</v>
      </c>
      <c r="H526" s="30">
        <f ca="1">IFERROR(__xludf.DUMMYFUNCTION("""COMPUTED_VALUE"""),0)</f>
        <v>0</v>
      </c>
      <c r="I526" s="29">
        <f ca="1">IFERROR(__xludf.DUMMYFUNCTION("""COMPUTED_VALUE"""),2000)</f>
        <v>2000</v>
      </c>
      <c r="J526" s="29">
        <f ca="1">IFERROR(__xludf.DUMMYFUNCTION("""COMPUTED_VALUE"""),1)</f>
        <v>1</v>
      </c>
      <c r="K526" s="29">
        <f ca="1">IFERROR(__xludf.DUMMYFUNCTION("""COMPUTED_VALUE"""),0)</f>
        <v>0</v>
      </c>
      <c r="L526" s="29">
        <f ca="1">IFERROR(__xludf.DUMMYFUNCTION("""COMPUTED_VALUE"""),0)</f>
        <v>0</v>
      </c>
      <c r="M526" s="29">
        <f ca="1">IFERROR(__xludf.DUMMYFUNCTION("""COMPUTED_VALUE"""),0)</f>
        <v>0</v>
      </c>
      <c r="N526" s="29">
        <f ca="1">IFERROR(__xludf.DUMMYFUNCTION("""COMPUTED_VALUE"""),0)</f>
        <v>0</v>
      </c>
    </row>
    <row r="527" spans="2:14" ht="12.5">
      <c r="B527" s="2" t="str">
        <f ca="1">IFERROR(__xludf.DUMMYFUNCTION("""COMPUTED_VALUE"""),"白鷗高")</f>
        <v>白鷗高</v>
      </c>
      <c r="C527" s="2" t="str">
        <f ca="1">IFERROR(__xludf.DUMMYFUNCTION("""COMPUTED_VALUE"""),"#N/A")</f>
        <v>#N/A</v>
      </c>
      <c r="D527" s="31">
        <f ca="1">IFERROR(__xludf.DUMMYFUNCTION("""COMPUTED_VALUE"""),10000)</f>
        <v>10000</v>
      </c>
      <c r="E527" s="29">
        <f ca="1">IFERROR(__xludf.DUMMYFUNCTION("""COMPUTED_VALUE"""),5000)</f>
        <v>5000</v>
      </c>
      <c r="F527" s="30">
        <f ca="1">IFERROR(__xludf.DUMMYFUNCTION("""COMPUTED_VALUE"""),2)</f>
        <v>2</v>
      </c>
      <c r="G527" s="29">
        <f ca="1">IFERROR(__xludf.DUMMYFUNCTION("""COMPUTED_VALUE"""),5000)</f>
        <v>5000</v>
      </c>
      <c r="H527" s="30">
        <f ca="1">IFERROR(__xludf.DUMMYFUNCTION("""COMPUTED_VALUE"""),2)</f>
        <v>2</v>
      </c>
      <c r="I527" s="29">
        <f ca="1">IFERROR(__xludf.DUMMYFUNCTION("""COMPUTED_VALUE"""),12000)</f>
        <v>12000</v>
      </c>
      <c r="J527" s="29">
        <f ca="1">IFERROR(__xludf.DUMMYFUNCTION("""COMPUTED_VALUE"""),6)</f>
        <v>6</v>
      </c>
      <c r="K527" s="29">
        <f ca="1">IFERROR(__xludf.DUMMYFUNCTION("""COMPUTED_VALUE"""),2000)</f>
        <v>2000</v>
      </c>
      <c r="L527" s="29">
        <f ca="1">IFERROR(__xludf.DUMMYFUNCTION("""COMPUTED_VALUE"""),1)</f>
        <v>1</v>
      </c>
      <c r="M527" s="29">
        <f ca="1">IFERROR(__xludf.DUMMYFUNCTION("""COMPUTED_VALUE"""),0)</f>
        <v>0</v>
      </c>
      <c r="N527" s="29">
        <f ca="1">IFERROR(__xludf.DUMMYFUNCTION("""COMPUTED_VALUE"""),0)</f>
        <v>0</v>
      </c>
    </row>
    <row r="528" spans="2:14" ht="12.5">
      <c r="B528" s="2" t="str">
        <f ca="1">IFERROR(__xludf.DUMMYFUNCTION("""COMPUTED_VALUE"""),"富士見高")</f>
        <v>富士見高</v>
      </c>
      <c r="C528" s="2" t="str">
        <f ca="1">IFERROR(__xludf.DUMMYFUNCTION("""COMPUTED_VALUE"""),"#N/A")</f>
        <v>#N/A</v>
      </c>
      <c r="D528" s="31">
        <f ca="1">IFERROR(__xludf.DUMMYFUNCTION("""COMPUTED_VALUE"""),2500)</f>
        <v>2500</v>
      </c>
      <c r="E528" s="29">
        <f ca="1">IFERROR(__xludf.DUMMYFUNCTION("""COMPUTED_VALUE"""),2500)</f>
        <v>2500</v>
      </c>
      <c r="F528" s="30">
        <f ca="1">IFERROR(__xludf.DUMMYFUNCTION("""COMPUTED_VALUE"""),1)</f>
        <v>1</v>
      </c>
      <c r="G528" s="29">
        <f ca="1">IFERROR(__xludf.DUMMYFUNCTION("""COMPUTED_VALUE"""),0)</f>
        <v>0</v>
      </c>
      <c r="H528" s="30">
        <f ca="1">IFERROR(__xludf.DUMMYFUNCTION("""COMPUTED_VALUE"""),0)</f>
        <v>0</v>
      </c>
      <c r="I528" s="29">
        <f ca="1">IFERROR(__xludf.DUMMYFUNCTION("""COMPUTED_VALUE"""),0)</f>
        <v>0</v>
      </c>
      <c r="J528" s="29">
        <f ca="1">IFERROR(__xludf.DUMMYFUNCTION("""COMPUTED_VALUE"""),0)</f>
        <v>0</v>
      </c>
      <c r="K528" s="29">
        <f ca="1">IFERROR(__xludf.DUMMYFUNCTION("""COMPUTED_VALUE"""),0)</f>
        <v>0</v>
      </c>
      <c r="L528" s="29">
        <f ca="1">IFERROR(__xludf.DUMMYFUNCTION("""COMPUTED_VALUE"""),0)</f>
        <v>0</v>
      </c>
      <c r="M528" s="29">
        <f ca="1">IFERROR(__xludf.DUMMYFUNCTION("""COMPUTED_VALUE"""),0)</f>
        <v>0</v>
      </c>
      <c r="N528" s="29">
        <f ca="1">IFERROR(__xludf.DUMMYFUNCTION("""COMPUTED_VALUE"""),0)</f>
        <v>0</v>
      </c>
    </row>
    <row r="529" spans="2:14" ht="12.5">
      <c r="B529" s="2" t="str">
        <f ca="1">IFERROR(__xludf.DUMMYFUNCTION("""COMPUTED_VALUE"""),"横浜平沼高")</f>
        <v>横浜平沼高</v>
      </c>
      <c r="C529" s="2" t="str">
        <f ca="1">IFERROR(__xludf.DUMMYFUNCTION("""COMPUTED_VALUE"""),"#N/A")</f>
        <v>#N/A</v>
      </c>
      <c r="D529" s="31">
        <f ca="1">IFERROR(__xludf.DUMMYFUNCTION("""COMPUTED_VALUE"""),22500)</f>
        <v>22500</v>
      </c>
      <c r="E529" s="29">
        <f ca="1">IFERROR(__xludf.DUMMYFUNCTION("""COMPUTED_VALUE"""),5000)</f>
        <v>5000</v>
      </c>
      <c r="F529" s="30">
        <f ca="1">IFERROR(__xludf.DUMMYFUNCTION("""COMPUTED_VALUE"""),2)</f>
        <v>2</v>
      </c>
      <c r="G529" s="29">
        <f ca="1">IFERROR(__xludf.DUMMYFUNCTION("""COMPUTED_VALUE"""),17500)</f>
        <v>17500</v>
      </c>
      <c r="H529" s="30">
        <f ca="1">IFERROR(__xludf.DUMMYFUNCTION("""COMPUTED_VALUE"""),7)</f>
        <v>7</v>
      </c>
      <c r="I529" s="29">
        <f ca="1">IFERROR(__xludf.DUMMYFUNCTION("""COMPUTED_VALUE"""),24000)</f>
        <v>24000</v>
      </c>
      <c r="J529" s="29">
        <f ca="1">IFERROR(__xludf.DUMMYFUNCTION("""COMPUTED_VALUE"""),12)</f>
        <v>12</v>
      </c>
      <c r="K529" s="29">
        <f ca="1">IFERROR(__xludf.DUMMYFUNCTION("""COMPUTED_VALUE"""),8000)</f>
        <v>8000</v>
      </c>
      <c r="L529" s="29">
        <f ca="1">IFERROR(__xludf.DUMMYFUNCTION("""COMPUTED_VALUE"""),4)</f>
        <v>4</v>
      </c>
      <c r="M529" s="29">
        <f ca="1">IFERROR(__xludf.DUMMYFUNCTION("""COMPUTED_VALUE"""),0)</f>
        <v>0</v>
      </c>
      <c r="N529" s="29">
        <f ca="1">IFERROR(__xludf.DUMMYFUNCTION("""COMPUTED_VALUE"""),0)</f>
        <v>0</v>
      </c>
    </row>
    <row r="530" spans="2:14" ht="12.5">
      <c r="B530" s="2" t="str">
        <f ca="1">IFERROR(__xludf.DUMMYFUNCTION("""COMPUTED_VALUE"""),"平塚江南高")</f>
        <v>平塚江南高</v>
      </c>
      <c r="C530" s="2" t="str">
        <f ca="1">IFERROR(__xludf.DUMMYFUNCTION("""COMPUTED_VALUE"""),"#N/A")</f>
        <v>#N/A</v>
      </c>
      <c r="D530" s="31">
        <f ca="1">IFERROR(__xludf.DUMMYFUNCTION("""COMPUTED_VALUE"""),5000)</f>
        <v>5000</v>
      </c>
      <c r="E530" s="29">
        <f ca="1">IFERROR(__xludf.DUMMYFUNCTION("""COMPUTED_VALUE"""),2500)</f>
        <v>2500</v>
      </c>
      <c r="F530" s="30">
        <f ca="1">IFERROR(__xludf.DUMMYFUNCTION("""COMPUTED_VALUE"""),1)</f>
        <v>1</v>
      </c>
      <c r="G530" s="29">
        <f ca="1">IFERROR(__xludf.DUMMYFUNCTION("""COMPUTED_VALUE"""),2500)</f>
        <v>2500</v>
      </c>
      <c r="H530" s="30">
        <f ca="1">IFERROR(__xludf.DUMMYFUNCTION("""COMPUTED_VALUE"""),1)</f>
        <v>1</v>
      </c>
      <c r="I530" s="29">
        <f ca="1">IFERROR(__xludf.DUMMYFUNCTION("""COMPUTED_VALUE"""),8000)</f>
        <v>8000</v>
      </c>
      <c r="J530" s="29">
        <f ca="1">IFERROR(__xludf.DUMMYFUNCTION("""COMPUTED_VALUE"""),4)</f>
        <v>4</v>
      </c>
      <c r="K530" s="29">
        <f ca="1">IFERROR(__xludf.DUMMYFUNCTION("""COMPUTED_VALUE"""),6000)</f>
        <v>6000</v>
      </c>
      <c r="L530" s="29">
        <f ca="1">IFERROR(__xludf.DUMMYFUNCTION("""COMPUTED_VALUE"""),3)</f>
        <v>3</v>
      </c>
      <c r="M530" s="29">
        <f ca="1">IFERROR(__xludf.DUMMYFUNCTION("""COMPUTED_VALUE"""),0)</f>
        <v>0</v>
      </c>
      <c r="N530" s="29">
        <f ca="1">IFERROR(__xludf.DUMMYFUNCTION("""COMPUTED_VALUE"""),0)</f>
        <v>0</v>
      </c>
    </row>
    <row r="531" spans="2:14" ht="12.5">
      <c r="B531" s="2" t="str">
        <f ca="1">IFERROR(__xludf.DUMMYFUNCTION("""COMPUTED_VALUE"""),"日本航空高")</f>
        <v>日本航空高</v>
      </c>
      <c r="C531" s="2" t="str">
        <f ca="1">IFERROR(__xludf.DUMMYFUNCTION("""COMPUTED_VALUE"""),"#N/A")</f>
        <v>#N/A</v>
      </c>
      <c r="D531" s="31">
        <f ca="1">IFERROR(__xludf.DUMMYFUNCTION("""COMPUTED_VALUE"""),2500)</f>
        <v>2500</v>
      </c>
      <c r="E531" s="29">
        <f ca="1">IFERROR(__xludf.DUMMYFUNCTION("""COMPUTED_VALUE"""),2500)</f>
        <v>2500</v>
      </c>
      <c r="F531" s="30">
        <f ca="1">IFERROR(__xludf.DUMMYFUNCTION("""COMPUTED_VALUE"""),1)</f>
        <v>1</v>
      </c>
      <c r="G531" s="29">
        <f ca="1">IFERROR(__xludf.DUMMYFUNCTION("""COMPUTED_VALUE"""),0)</f>
        <v>0</v>
      </c>
      <c r="H531" s="30">
        <f ca="1">IFERROR(__xludf.DUMMYFUNCTION("""COMPUTED_VALUE"""),0)</f>
        <v>0</v>
      </c>
      <c r="I531" s="29">
        <f ca="1">IFERROR(__xludf.DUMMYFUNCTION("""COMPUTED_VALUE"""),0)</f>
        <v>0</v>
      </c>
      <c r="J531" s="29">
        <f ca="1">IFERROR(__xludf.DUMMYFUNCTION("""COMPUTED_VALUE"""),0)</f>
        <v>0</v>
      </c>
      <c r="K531" s="29">
        <f ca="1">IFERROR(__xludf.DUMMYFUNCTION("""COMPUTED_VALUE"""),0)</f>
        <v>0</v>
      </c>
      <c r="L531" s="29">
        <f ca="1">IFERROR(__xludf.DUMMYFUNCTION("""COMPUTED_VALUE"""),0)</f>
        <v>0</v>
      </c>
      <c r="M531" s="29">
        <f ca="1">IFERROR(__xludf.DUMMYFUNCTION("""COMPUTED_VALUE"""),0)</f>
        <v>0</v>
      </c>
      <c r="N531" s="29">
        <f ca="1">IFERROR(__xludf.DUMMYFUNCTION("""COMPUTED_VALUE"""),0)</f>
        <v>0</v>
      </c>
    </row>
    <row r="532" spans="2:14" ht="12.5">
      <c r="B532" s="2" t="str">
        <f ca="1">IFERROR(__xludf.DUMMYFUNCTION("""COMPUTED_VALUE"""),"金沢錦丘高")</f>
        <v>金沢錦丘高</v>
      </c>
      <c r="C532" s="2" t="str">
        <f ca="1">IFERROR(__xludf.DUMMYFUNCTION("""COMPUTED_VALUE"""),"#N/A")</f>
        <v>#N/A</v>
      </c>
      <c r="D532" s="31">
        <f ca="1">IFERROR(__xludf.DUMMYFUNCTION("""COMPUTED_VALUE"""),2500)</f>
        <v>2500</v>
      </c>
      <c r="E532" s="29">
        <f ca="1">IFERROR(__xludf.DUMMYFUNCTION("""COMPUTED_VALUE"""),2500)</f>
        <v>2500</v>
      </c>
      <c r="F532" s="30">
        <f ca="1">IFERROR(__xludf.DUMMYFUNCTION("""COMPUTED_VALUE"""),1)</f>
        <v>1</v>
      </c>
      <c r="G532" s="29">
        <f ca="1">IFERROR(__xludf.DUMMYFUNCTION("""COMPUTED_VALUE"""),0)</f>
        <v>0</v>
      </c>
      <c r="H532" s="30">
        <f ca="1">IFERROR(__xludf.DUMMYFUNCTION("""COMPUTED_VALUE"""),0)</f>
        <v>0</v>
      </c>
      <c r="I532" s="29">
        <f ca="1">IFERROR(__xludf.DUMMYFUNCTION("""COMPUTED_VALUE"""),4000)</f>
        <v>4000</v>
      </c>
      <c r="J532" s="29">
        <f ca="1">IFERROR(__xludf.DUMMYFUNCTION("""COMPUTED_VALUE"""),2)</f>
        <v>2</v>
      </c>
      <c r="K532" s="29">
        <f ca="1">IFERROR(__xludf.DUMMYFUNCTION("""COMPUTED_VALUE"""),10000)</f>
        <v>10000</v>
      </c>
      <c r="L532" s="29">
        <f ca="1">IFERROR(__xludf.DUMMYFUNCTION("""COMPUTED_VALUE"""),5)</f>
        <v>5</v>
      </c>
      <c r="M532" s="29">
        <f ca="1">IFERROR(__xludf.DUMMYFUNCTION("""COMPUTED_VALUE"""),0)</f>
        <v>0</v>
      </c>
      <c r="N532" s="29">
        <f ca="1">IFERROR(__xludf.DUMMYFUNCTION("""COMPUTED_VALUE"""),0)</f>
        <v>0</v>
      </c>
    </row>
    <row r="533" spans="2:14" ht="12.5">
      <c r="B533" s="2" t="str">
        <f ca="1">IFERROR(__xludf.DUMMYFUNCTION("""COMPUTED_VALUE"""),"金沢泉丘高")</f>
        <v>金沢泉丘高</v>
      </c>
      <c r="C533" s="2" t="str">
        <f ca="1">IFERROR(__xludf.DUMMYFUNCTION("""COMPUTED_VALUE"""),"#N/A")</f>
        <v>#N/A</v>
      </c>
      <c r="D533" s="31">
        <f ca="1">IFERROR(__xludf.DUMMYFUNCTION("""COMPUTED_VALUE"""),5000)</f>
        <v>5000</v>
      </c>
      <c r="E533" s="29">
        <f ca="1">IFERROR(__xludf.DUMMYFUNCTION("""COMPUTED_VALUE"""),2500)</f>
        <v>2500</v>
      </c>
      <c r="F533" s="30">
        <f ca="1">IFERROR(__xludf.DUMMYFUNCTION("""COMPUTED_VALUE"""),1)</f>
        <v>1</v>
      </c>
      <c r="G533" s="29">
        <f ca="1">IFERROR(__xludf.DUMMYFUNCTION("""COMPUTED_VALUE"""),2500)</f>
        <v>2500</v>
      </c>
      <c r="H533" s="30">
        <f ca="1">IFERROR(__xludf.DUMMYFUNCTION("""COMPUTED_VALUE"""),1)</f>
        <v>1</v>
      </c>
      <c r="I533" s="29">
        <f ca="1">IFERROR(__xludf.DUMMYFUNCTION("""COMPUTED_VALUE"""),12000)</f>
        <v>12000</v>
      </c>
      <c r="J533" s="29">
        <f ca="1">IFERROR(__xludf.DUMMYFUNCTION("""COMPUTED_VALUE"""),6)</f>
        <v>6</v>
      </c>
      <c r="K533" s="29">
        <f ca="1">IFERROR(__xludf.DUMMYFUNCTION("""COMPUTED_VALUE"""),14000)</f>
        <v>14000</v>
      </c>
      <c r="L533" s="29">
        <f ca="1">IFERROR(__xludf.DUMMYFUNCTION("""COMPUTED_VALUE"""),7)</f>
        <v>7</v>
      </c>
      <c r="M533" s="29">
        <f ca="1">IFERROR(__xludf.DUMMYFUNCTION("""COMPUTED_VALUE"""),0)</f>
        <v>0</v>
      </c>
      <c r="N533" s="29">
        <f ca="1">IFERROR(__xludf.DUMMYFUNCTION("""COMPUTED_VALUE"""),0)</f>
        <v>0</v>
      </c>
    </row>
    <row r="534" spans="2:14" ht="12.5">
      <c r="B534" s="2" t="str">
        <f ca="1">IFERROR(__xludf.DUMMYFUNCTION("""COMPUTED_VALUE"""),"敦賀気比高")</f>
        <v>敦賀気比高</v>
      </c>
      <c r="C534" s="2" t="str">
        <f ca="1">IFERROR(__xludf.DUMMYFUNCTION("""COMPUTED_VALUE"""),"#N/A")</f>
        <v>#N/A</v>
      </c>
      <c r="D534" s="31">
        <f ca="1">IFERROR(__xludf.DUMMYFUNCTION("""COMPUTED_VALUE"""),2500)</f>
        <v>2500</v>
      </c>
      <c r="E534" s="29">
        <f ca="1">IFERROR(__xludf.DUMMYFUNCTION("""COMPUTED_VALUE"""),2500)</f>
        <v>2500</v>
      </c>
      <c r="F534" s="30">
        <f ca="1">IFERROR(__xludf.DUMMYFUNCTION("""COMPUTED_VALUE"""),1)</f>
        <v>1</v>
      </c>
      <c r="G534" s="29">
        <f ca="1">IFERROR(__xludf.DUMMYFUNCTION("""COMPUTED_VALUE"""),0)</f>
        <v>0</v>
      </c>
      <c r="H534" s="30">
        <f ca="1">IFERROR(__xludf.DUMMYFUNCTION("""COMPUTED_VALUE"""),0)</f>
        <v>0</v>
      </c>
      <c r="I534" s="29">
        <f ca="1">IFERROR(__xludf.DUMMYFUNCTION("""COMPUTED_VALUE"""),2000)</f>
        <v>2000</v>
      </c>
      <c r="J534" s="29">
        <f ca="1">IFERROR(__xludf.DUMMYFUNCTION("""COMPUTED_VALUE"""),1)</f>
        <v>1</v>
      </c>
      <c r="K534" s="29">
        <f ca="1">IFERROR(__xludf.DUMMYFUNCTION("""COMPUTED_VALUE"""),0)</f>
        <v>0</v>
      </c>
      <c r="L534" s="29">
        <f ca="1">IFERROR(__xludf.DUMMYFUNCTION("""COMPUTED_VALUE"""),0)</f>
        <v>0</v>
      </c>
      <c r="M534" s="29">
        <f ca="1">IFERROR(__xludf.DUMMYFUNCTION("""COMPUTED_VALUE"""),0)</f>
        <v>0</v>
      </c>
      <c r="N534" s="29">
        <f ca="1">IFERROR(__xludf.DUMMYFUNCTION("""COMPUTED_VALUE"""),0)</f>
        <v>0</v>
      </c>
    </row>
    <row r="535" spans="2:14" ht="12.5">
      <c r="B535" s="2" t="str">
        <f ca="1">IFERROR(__xludf.DUMMYFUNCTION("""COMPUTED_VALUE"""),"美方高")</f>
        <v>美方高</v>
      </c>
      <c r="C535" s="2" t="str">
        <f ca="1">IFERROR(__xludf.DUMMYFUNCTION("""COMPUTED_VALUE"""),"#N/A")</f>
        <v>#N/A</v>
      </c>
      <c r="D535" s="31">
        <f ca="1">IFERROR(__xludf.DUMMYFUNCTION("""COMPUTED_VALUE"""),2500)</f>
        <v>2500</v>
      </c>
      <c r="E535" s="29">
        <f ca="1">IFERROR(__xludf.DUMMYFUNCTION("""COMPUTED_VALUE"""),2500)</f>
        <v>2500</v>
      </c>
      <c r="F535" s="30">
        <f ca="1">IFERROR(__xludf.DUMMYFUNCTION("""COMPUTED_VALUE"""),1)</f>
        <v>1</v>
      </c>
      <c r="G535" s="29">
        <f ca="1">IFERROR(__xludf.DUMMYFUNCTION("""COMPUTED_VALUE"""),0)</f>
        <v>0</v>
      </c>
      <c r="H535" s="30">
        <f ca="1">IFERROR(__xludf.DUMMYFUNCTION("""COMPUTED_VALUE"""),0)</f>
        <v>0</v>
      </c>
      <c r="I535" s="29">
        <f ca="1">IFERROR(__xludf.DUMMYFUNCTION("""COMPUTED_VALUE"""),2000)</f>
        <v>2000</v>
      </c>
      <c r="J535" s="29">
        <f ca="1">IFERROR(__xludf.DUMMYFUNCTION("""COMPUTED_VALUE"""),1)</f>
        <v>1</v>
      </c>
      <c r="K535" s="29">
        <f ca="1">IFERROR(__xludf.DUMMYFUNCTION("""COMPUTED_VALUE"""),0)</f>
        <v>0</v>
      </c>
      <c r="L535" s="29">
        <f ca="1">IFERROR(__xludf.DUMMYFUNCTION("""COMPUTED_VALUE"""),0)</f>
        <v>0</v>
      </c>
      <c r="M535" s="29">
        <f ca="1">IFERROR(__xludf.DUMMYFUNCTION("""COMPUTED_VALUE"""),0)</f>
        <v>0</v>
      </c>
      <c r="N535" s="29">
        <f ca="1">IFERROR(__xludf.DUMMYFUNCTION("""COMPUTED_VALUE"""),0)</f>
        <v>0</v>
      </c>
    </row>
    <row r="536" spans="2:14" ht="12.5">
      <c r="B536" s="2" t="str">
        <f ca="1">IFERROR(__xludf.DUMMYFUNCTION("""COMPUTED_VALUE"""),"松本県ケ丘高")</f>
        <v>松本県ケ丘高</v>
      </c>
      <c r="C536" s="2" t="str">
        <f ca="1">IFERROR(__xludf.DUMMYFUNCTION("""COMPUTED_VALUE"""),"#N/A")</f>
        <v>#N/A</v>
      </c>
      <c r="D536" s="31">
        <f ca="1">IFERROR(__xludf.DUMMYFUNCTION("""COMPUTED_VALUE"""),2500)</f>
        <v>2500</v>
      </c>
      <c r="E536" s="29">
        <f ca="1">IFERROR(__xludf.DUMMYFUNCTION("""COMPUTED_VALUE"""),2500)</f>
        <v>2500</v>
      </c>
      <c r="F536" s="30">
        <f ca="1">IFERROR(__xludf.DUMMYFUNCTION("""COMPUTED_VALUE"""),1)</f>
        <v>1</v>
      </c>
      <c r="G536" s="29">
        <f ca="1">IFERROR(__xludf.DUMMYFUNCTION("""COMPUTED_VALUE"""),0)</f>
        <v>0</v>
      </c>
      <c r="H536" s="30">
        <f ca="1">IFERROR(__xludf.DUMMYFUNCTION("""COMPUTED_VALUE"""),0)</f>
        <v>0</v>
      </c>
      <c r="I536" s="29">
        <f ca="1">IFERROR(__xludf.DUMMYFUNCTION("""COMPUTED_VALUE"""),6000)</f>
        <v>6000</v>
      </c>
      <c r="J536" s="29">
        <f ca="1">IFERROR(__xludf.DUMMYFUNCTION("""COMPUTED_VALUE"""),3)</f>
        <v>3</v>
      </c>
      <c r="K536" s="29">
        <f ca="1">IFERROR(__xludf.DUMMYFUNCTION("""COMPUTED_VALUE"""),2000)</f>
        <v>2000</v>
      </c>
      <c r="L536" s="29">
        <f ca="1">IFERROR(__xludf.DUMMYFUNCTION("""COMPUTED_VALUE"""),1)</f>
        <v>1</v>
      </c>
      <c r="M536" s="29">
        <f ca="1">IFERROR(__xludf.DUMMYFUNCTION("""COMPUTED_VALUE"""),0)</f>
        <v>0</v>
      </c>
      <c r="N536" s="29">
        <f ca="1">IFERROR(__xludf.DUMMYFUNCTION("""COMPUTED_VALUE"""),0)</f>
        <v>0</v>
      </c>
    </row>
    <row r="537" spans="2:14" ht="12.5">
      <c r="B537" s="2" t="str">
        <f ca="1">IFERROR(__xludf.DUMMYFUNCTION("""COMPUTED_VALUE"""),"浜松西高")</f>
        <v>浜松西高</v>
      </c>
      <c r="C537" s="2" t="str">
        <f ca="1">IFERROR(__xludf.DUMMYFUNCTION("""COMPUTED_VALUE"""),"#N/A")</f>
        <v>#N/A</v>
      </c>
      <c r="D537" s="31">
        <f ca="1">IFERROR(__xludf.DUMMYFUNCTION("""COMPUTED_VALUE"""),7500)</f>
        <v>7500</v>
      </c>
      <c r="E537" s="29">
        <f ca="1">IFERROR(__xludf.DUMMYFUNCTION("""COMPUTED_VALUE"""),2500)</f>
        <v>2500</v>
      </c>
      <c r="F537" s="30">
        <f ca="1">IFERROR(__xludf.DUMMYFUNCTION("""COMPUTED_VALUE"""),1)</f>
        <v>1</v>
      </c>
      <c r="G537" s="29">
        <f ca="1">IFERROR(__xludf.DUMMYFUNCTION("""COMPUTED_VALUE"""),5000)</f>
        <v>5000</v>
      </c>
      <c r="H537" s="30">
        <f ca="1">IFERROR(__xludf.DUMMYFUNCTION("""COMPUTED_VALUE"""),2)</f>
        <v>2</v>
      </c>
      <c r="I537" s="29">
        <f ca="1">IFERROR(__xludf.DUMMYFUNCTION("""COMPUTED_VALUE"""),8000)</f>
        <v>8000</v>
      </c>
      <c r="J537" s="29">
        <f ca="1">IFERROR(__xludf.DUMMYFUNCTION("""COMPUTED_VALUE"""),4)</f>
        <v>4</v>
      </c>
      <c r="K537" s="29">
        <f ca="1">IFERROR(__xludf.DUMMYFUNCTION("""COMPUTED_VALUE"""),4000)</f>
        <v>4000</v>
      </c>
      <c r="L537" s="29">
        <f ca="1">IFERROR(__xludf.DUMMYFUNCTION("""COMPUTED_VALUE"""),2)</f>
        <v>2</v>
      </c>
      <c r="M537" s="29">
        <f ca="1">IFERROR(__xludf.DUMMYFUNCTION("""COMPUTED_VALUE"""),0)</f>
        <v>0</v>
      </c>
      <c r="N537" s="29">
        <f ca="1">IFERROR(__xludf.DUMMYFUNCTION("""COMPUTED_VALUE"""),0)</f>
        <v>0</v>
      </c>
    </row>
    <row r="538" spans="2:14" ht="12.5">
      <c r="B538" s="2" t="str">
        <f ca="1">IFERROR(__xludf.DUMMYFUNCTION("""COMPUTED_VALUE"""),"富士高")</f>
        <v>富士高</v>
      </c>
      <c r="C538" s="2" t="str">
        <f ca="1">IFERROR(__xludf.DUMMYFUNCTION("""COMPUTED_VALUE"""),"#N/A")</f>
        <v>#N/A</v>
      </c>
      <c r="D538" s="31">
        <f ca="1">IFERROR(__xludf.DUMMYFUNCTION("""COMPUTED_VALUE"""),22500)</f>
        <v>22500</v>
      </c>
      <c r="E538" s="29">
        <f ca="1">IFERROR(__xludf.DUMMYFUNCTION("""COMPUTED_VALUE"""),7500)</f>
        <v>7500</v>
      </c>
      <c r="F538" s="30">
        <f ca="1">IFERROR(__xludf.DUMMYFUNCTION("""COMPUTED_VALUE"""),3)</f>
        <v>3</v>
      </c>
      <c r="G538" s="29">
        <f ca="1">IFERROR(__xludf.DUMMYFUNCTION("""COMPUTED_VALUE"""),15000)</f>
        <v>15000</v>
      </c>
      <c r="H538" s="30">
        <f ca="1">IFERROR(__xludf.DUMMYFUNCTION("""COMPUTED_VALUE"""),6)</f>
        <v>6</v>
      </c>
      <c r="I538" s="29">
        <f ca="1">IFERROR(__xludf.DUMMYFUNCTION("""COMPUTED_VALUE"""),18000)</f>
        <v>18000</v>
      </c>
      <c r="J538" s="29">
        <f ca="1">IFERROR(__xludf.DUMMYFUNCTION("""COMPUTED_VALUE"""),9)</f>
        <v>9</v>
      </c>
      <c r="K538" s="29">
        <f ca="1">IFERROR(__xludf.DUMMYFUNCTION("""COMPUTED_VALUE"""),12000)</f>
        <v>12000</v>
      </c>
      <c r="L538" s="29">
        <f ca="1">IFERROR(__xludf.DUMMYFUNCTION("""COMPUTED_VALUE"""),6)</f>
        <v>6</v>
      </c>
      <c r="M538" s="29">
        <f ca="1">IFERROR(__xludf.DUMMYFUNCTION("""COMPUTED_VALUE"""),0)</f>
        <v>0</v>
      </c>
      <c r="N538" s="29">
        <f ca="1">IFERROR(__xludf.DUMMYFUNCTION("""COMPUTED_VALUE"""),0)</f>
        <v>0</v>
      </c>
    </row>
    <row r="539" spans="2:14" ht="12.5">
      <c r="B539" s="2" t="str">
        <f ca="1">IFERROR(__xludf.DUMMYFUNCTION("""COMPUTED_VALUE"""),"旭丘高")</f>
        <v>旭丘高</v>
      </c>
      <c r="C539" s="2" t="str">
        <f ca="1">IFERROR(__xludf.DUMMYFUNCTION("""COMPUTED_VALUE"""),"#N/A")</f>
        <v>#N/A</v>
      </c>
      <c r="D539" s="31">
        <f ca="1">IFERROR(__xludf.DUMMYFUNCTION("""COMPUTED_VALUE"""),7500)</f>
        <v>7500</v>
      </c>
      <c r="E539" s="29">
        <f ca="1">IFERROR(__xludf.DUMMYFUNCTION("""COMPUTED_VALUE"""),5000)</f>
        <v>5000</v>
      </c>
      <c r="F539" s="30">
        <f ca="1">IFERROR(__xludf.DUMMYFUNCTION("""COMPUTED_VALUE"""),2)</f>
        <v>2</v>
      </c>
      <c r="G539" s="29">
        <f ca="1">IFERROR(__xludf.DUMMYFUNCTION("""COMPUTED_VALUE"""),2500)</f>
        <v>2500</v>
      </c>
      <c r="H539" s="30">
        <f ca="1">IFERROR(__xludf.DUMMYFUNCTION("""COMPUTED_VALUE"""),1)</f>
        <v>1</v>
      </c>
      <c r="I539" s="29">
        <f ca="1">IFERROR(__xludf.DUMMYFUNCTION("""COMPUTED_VALUE"""),12000)</f>
        <v>12000</v>
      </c>
      <c r="J539" s="29">
        <f ca="1">IFERROR(__xludf.DUMMYFUNCTION("""COMPUTED_VALUE"""),6)</f>
        <v>6</v>
      </c>
      <c r="K539" s="29">
        <f ca="1">IFERROR(__xludf.DUMMYFUNCTION("""COMPUTED_VALUE"""),16000)</f>
        <v>16000</v>
      </c>
      <c r="L539" s="29">
        <f ca="1">IFERROR(__xludf.DUMMYFUNCTION("""COMPUTED_VALUE"""),8)</f>
        <v>8</v>
      </c>
      <c r="M539" s="29">
        <f ca="1">IFERROR(__xludf.DUMMYFUNCTION("""COMPUTED_VALUE"""),0)</f>
        <v>0</v>
      </c>
      <c r="N539" s="29">
        <f ca="1">IFERROR(__xludf.DUMMYFUNCTION("""COMPUTED_VALUE"""),0)</f>
        <v>0</v>
      </c>
    </row>
    <row r="540" spans="2:14" ht="12.5">
      <c r="B540" s="2" t="str">
        <f ca="1">IFERROR(__xludf.DUMMYFUNCTION("""COMPUTED_VALUE"""),"守山高")</f>
        <v>守山高</v>
      </c>
      <c r="C540" s="2" t="str">
        <f ca="1">IFERROR(__xludf.DUMMYFUNCTION("""COMPUTED_VALUE"""),"#N/A")</f>
        <v>#N/A</v>
      </c>
      <c r="D540" s="31">
        <f ca="1">IFERROR(__xludf.DUMMYFUNCTION("""COMPUTED_VALUE"""),2500)</f>
        <v>2500</v>
      </c>
      <c r="E540" s="29">
        <f ca="1">IFERROR(__xludf.DUMMYFUNCTION("""COMPUTED_VALUE"""),2500)</f>
        <v>2500</v>
      </c>
      <c r="F540" s="30">
        <f ca="1">IFERROR(__xludf.DUMMYFUNCTION("""COMPUTED_VALUE"""),1)</f>
        <v>1</v>
      </c>
      <c r="G540" s="29">
        <f ca="1">IFERROR(__xludf.DUMMYFUNCTION("""COMPUTED_VALUE"""),0)</f>
        <v>0</v>
      </c>
      <c r="H540" s="30">
        <f ca="1">IFERROR(__xludf.DUMMYFUNCTION("""COMPUTED_VALUE"""),0)</f>
        <v>0</v>
      </c>
      <c r="I540" s="29">
        <f ca="1">IFERROR(__xludf.DUMMYFUNCTION("""COMPUTED_VALUE"""),0)</f>
        <v>0</v>
      </c>
      <c r="J540" s="29">
        <f ca="1">IFERROR(__xludf.DUMMYFUNCTION("""COMPUTED_VALUE"""),0)</f>
        <v>0</v>
      </c>
      <c r="K540" s="29">
        <f ca="1">IFERROR(__xludf.DUMMYFUNCTION("""COMPUTED_VALUE"""),2000)</f>
        <v>2000</v>
      </c>
      <c r="L540" s="29">
        <f ca="1">IFERROR(__xludf.DUMMYFUNCTION("""COMPUTED_VALUE"""),1)</f>
        <v>1</v>
      </c>
      <c r="M540" s="29">
        <f ca="1">IFERROR(__xludf.DUMMYFUNCTION("""COMPUTED_VALUE"""),0)</f>
        <v>0</v>
      </c>
      <c r="N540" s="29">
        <f ca="1">IFERROR(__xludf.DUMMYFUNCTION("""COMPUTED_VALUE"""),0)</f>
        <v>0</v>
      </c>
    </row>
    <row r="541" spans="2:14" ht="12.5">
      <c r="B541" s="2" t="str">
        <f ca="1">IFERROR(__xludf.DUMMYFUNCTION("""COMPUTED_VALUE"""),"膳所高")</f>
        <v>膳所高</v>
      </c>
      <c r="C541" s="2" t="str">
        <f ca="1">IFERROR(__xludf.DUMMYFUNCTION("""COMPUTED_VALUE"""),"#N/A")</f>
        <v>#N/A</v>
      </c>
      <c r="D541" s="31">
        <f ca="1">IFERROR(__xludf.DUMMYFUNCTION("""COMPUTED_VALUE"""),15000)</f>
        <v>15000</v>
      </c>
      <c r="E541" s="29">
        <f ca="1">IFERROR(__xludf.DUMMYFUNCTION("""COMPUTED_VALUE"""),2500)</f>
        <v>2500</v>
      </c>
      <c r="F541" s="30">
        <f ca="1">IFERROR(__xludf.DUMMYFUNCTION("""COMPUTED_VALUE"""),1)</f>
        <v>1</v>
      </c>
      <c r="G541" s="29">
        <f ca="1">IFERROR(__xludf.DUMMYFUNCTION("""COMPUTED_VALUE"""),12500)</f>
        <v>12500</v>
      </c>
      <c r="H541" s="30">
        <f ca="1">IFERROR(__xludf.DUMMYFUNCTION("""COMPUTED_VALUE"""),5)</f>
        <v>5</v>
      </c>
      <c r="I541" s="29">
        <f ca="1">IFERROR(__xludf.DUMMYFUNCTION("""COMPUTED_VALUE"""),12000)</f>
        <v>12000</v>
      </c>
      <c r="J541" s="29">
        <f ca="1">IFERROR(__xludf.DUMMYFUNCTION("""COMPUTED_VALUE"""),6)</f>
        <v>6</v>
      </c>
      <c r="K541" s="29">
        <f ca="1">IFERROR(__xludf.DUMMYFUNCTION("""COMPUTED_VALUE"""),18000)</f>
        <v>18000</v>
      </c>
      <c r="L541" s="29">
        <f ca="1">IFERROR(__xludf.DUMMYFUNCTION("""COMPUTED_VALUE"""),9)</f>
        <v>9</v>
      </c>
      <c r="M541" s="29">
        <f ca="1">IFERROR(__xludf.DUMMYFUNCTION("""COMPUTED_VALUE"""),0)</f>
        <v>0</v>
      </c>
      <c r="N541" s="29">
        <f ca="1">IFERROR(__xludf.DUMMYFUNCTION("""COMPUTED_VALUE"""),0)</f>
        <v>0</v>
      </c>
    </row>
    <row r="542" spans="2:14" ht="12.5">
      <c r="B542" s="2" t="str">
        <f ca="1">IFERROR(__xludf.DUMMYFUNCTION("""COMPUTED_VALUE"""),"西京高")</f>
        <v>西京高</v>
      </c>
      <c r="C542" s="2" t="str">
        <f ca="1">IFERROR(__xludf.DUMMYFUNCTION("""COMPUTED_VALUE"""),"#N/A")</f>
        <v>#N/A</v>
      </c>
      <c r="D542" s="31">
        <f ca="1">IFERROR(__xludf.DUMMYFUNCTION("""COMPUTED_VALUE"""),7500)</f>
        <v>7500</v>
      </c>
      <c r="E542" s="29">
        <f ca="1">IFERROR(__xludf.DUMMYFUNCTION("""COMPUTED_VALUE"""),2500)</f>
        <v>2500</v>
      </c>
      <c r="F542" s="30">
        <f ca="1">IFERROR(__xludf.DUMMYFUNCTION("""COMPUTED_VALUE"""),1)</f>
        <v>1</v>
      </c>
      <c r="G542" s="29">
        <f ca="1">IFERROR(__xludf.DUMMYFUNCTION("""COMPUTED_VALUE"""),5000)</f>
        <v>5000</v>
      </c>
      <c r="H542" s="30">
        <f ca="1">IFERROR(__xludf.DUMMYFUNCTION("""COMPUTED_VALUE"""),2)</f>
        <v>2</v>
      </c>
      <c r="I542" s="29">
        <f ca="1">IFERROR(__xludf.DUMMYFUNCTION("""COMPUTED_VALUE"""),4000)</f>
        <v>4000</v>
      </c>
      <c r="J542" s="29">
        <f ca="1">IFERROR(__xludf.DUMMYFUNCTION("""COMPUTED_VALUE"""),2)</f>
        <v>2</v>
      </c>
      <c r="K542" s="29">
        <f ca="1">IFERROR(__xludf.DUMMYFUNCTION("""COMPUTED_VALUE"""),6000)</f>
        <v>6000</v>
      </c>
      <c r="L542" s="29">
        <f ca="1">IFERROR(__xludf.DUMMYFUNCTION("""COMPUTED_VALUE"""),3)</f>
        <v>3</v>
      </c>
      <c r="M542" s="29">
        <f ca="1">IFERROR(__xludf.DUMMYFUNCTION("""COMPUTED_VALUE"""),0)</f>
        <v>0</v>
      </c>
      <c r="N542" s="29">
        <f ca="1">IFERROR(__xludf.DUMMYFUNCTION("""COMPUTED_VALUE"""),0)</f>
        <v>0</v>
      </c>
    </row>
    <row r="543" spans="2:14" ht="12.5">
      <c r="B543" s="2" t="str">
        <f ca="1">IFERROR(__xludf.DUMMYFUNCTION("""COMPUTED_VALUE"""),"大谷高")</f>
        <v>大谷高</v>
      </c>
      <c r="C543" s="2" t="str">
        <f ca="1">IFERROR(__xludf.DUMMYFUNCTION("""COMPUTED_VALUE"""),"#N/A")</f>
        <v>#N/A</v>
      </c>
      <c r="D543" s="31">
        <f ca="1">IFERROR(__xludf.DUMMYFUNCTION("""COMPUTED_VALUE"""),17500)</f>
        <v>17500</v>
      </c>
      <c r="E543" s="29">
        <f ca="1">IFERROR(__xludf.DUMMYFUNCTION("""COMPUTED_VALUE"""),5000)</f>
        <v>5000</v>
      </c>
      <c r="F543" s="30">
        <f ca="1">IFERROR(__xludf.DUMMYFUNCTION("""COMPUTED_VALUE"""),2)</f>
        <v>2</v>
      </c>
      <c r="G543" s="29">
        <f ca="1">IFERROR(__xludf.DUMMYFUNCTION("""COMPUTED_VALUE"""),12500)</f>
        <v>12500</v>
      </c>
      <c r="H543" s="30">
        <f ca="1">IFERROR(__xludf.DUMMYFUNCTION("""COMPUTED_VALUE"""),5)</f>
        <v>5</v>
      </c>
      <c r="I543" s="29">
        <f ca="1">IFERROR(__xludf.DUMMYFUNCTION("""COMPUTED_VALUE"""),14000)</f>
        <v>14000</v>
      </c>
      <c r="J543" s="29">
        <f ca="1">IFERROR(__xludf.DUMMYFUNCTION("""COMPUTED_VALUE"""),7)</f>
        <v>7</v>
      </c>
      <c r="K543" s="29">
        <f ca="1">IFERROR(__xludf.DUMMYFUNCTION("""COMPUTED_VALUE"""),2000)</f>
        <v>2000</v>
      </c>
      <c r="L543" s="29">
        <f ca="1">IFERROR(__xludf.DUMMYFUNCTION("""COMPUTED_VALUE"""),1)</f>
        <v>1</v>
      </c>
      <c r="M543" s="29">
        <f ca="1">IFERROR(__xludf.DUMMYFUNCTION("""COMPUTED_VALUE"""),0)</f>
        <v>0</v>
      </c>
      <c r="N543" s="29">
        <f ca="1">IFERROR(__xludf.DUMMYFUNCTION("""COMPUTED_VALUE"""),0)</f>
        <v>0</v>
      </c>
    </row>
    <row r="544" spans="2:14" ht="12.5">
      <c r="B544" s="2" t="str">
        <f ca="1">IFERROR(__xludf.DUMMYFUNCTION("""COMPUTED_VALUE"""),"洛南高")</f>
        <v>洛南高</v>
      </c>
      <c r="C544" s="2" t="str">
        <f ca="1">IFERROR(__xludf.DUMMYFUNCTION("""COMPUTED_VALUE"""),"#N/A")</f>
        <v>#N/A</v>
      </c>
      <c r="D544" s="31">
        <f ca="1">IFERROR(__xludf.DUMMYFUNCTION("""COMPUTED_VALUE"""),20000)</f>
        <v>20000</v>
      </c>
      <c r="E544" s="29">
        <f ca="1">IFERROR(__xludf.DUMMYFUNCTION("""COMPUTED_VALUE"""),7500)</f>
        <v>7500</v>
      </c>
      <c r="F544" s="30">
        <f ca="1">IFERROR(__xludf.DUMMYFUNCTION("""COMPUTED_VALUE"""),3)</f>
        <v>3</v>
      </c>
      <c r="G544" s="29">
        <f ca="1">IFERROR(__xludf.DUMMYFUNCTION("""COMPUTED_VALUE"""),12500)</f>
        <v>12500</v>
      </c>
      <c r="H544" s="30">
        <f ca="1">IFERROR(__xludf.DUMMYFUNCTION("""COMPUTED_VALUE"""),5)</f>
        <v>5</v>
      </c>
      <c r="I544" s="29">
        <f ca="1">IFERROR(__xludf.DUMMYFUNCTION("""COMPUTED_VALUE"""),12000)</f>
        <v>12000</v>
      </c>
      <c r="J544" s="29">
        <f ca="1">IFERROR(__xludf.DUMMYFUNCTION("""COMPUTED_VALUE"""),6)</f>
        <v>6</v>
      </c>
      <c r="K544" s="29">
        <f ca="1">IFERROR(__xludf.DUMMYFUNCTION("""COMPUTED_VALUE"""),8000)</f>
        <v>8000</v>
      </c>
      <c r="L544" s="29">
        <f ca="1">IFERROR(__xludf.DUMMYFUNCTION("""COMPUTED_VALUE"""),4)</f>
        <v>4</v>
      </c>
      <c r="M544" s="29">
        <f ca="1">IFERROR(__xludf.DUMMYFUNCTION("""COMPUTED_VALUE"""),0)</f>
        <v>0</v>
      </c>
      <c r="N544" s="29">
        <f ca="1">IFERROR(__xludf.DUMMYFUNCTION("""COMPUTED_VALUE"""),0)</f>
        <v>0</v>
      </c>
    </row>
    <row r="545" spans="2:14" ht="12.5">
      <c r="B545" s="2" t="str">
        <f ca="1">IFERROR(__xludf.DUMMYFUNCTION("""COMPUTED_VALUE"""),"四天王寺高")</f>
        <v>四天王寺高</v>
      </c>
      <c r="C545" s="2" t="str">
        <f ca="1">IFERROR(__xludf.DUMMYFUNCTION("""COMPUTED_VALUE"""),"#N/A")</f>
        <v>#N/A</v>
      </c>
      <c r="D545" s="31">
        <f ca="1">IFERROR(__xludf.DUMMYFUNCTION("""COMPUTED_VALUE"""),12500)</f>
        <v>12500</v>
      </c>
      <c r="E545" s="29">
        <f ca="1">IFERROR(__xludf.DUMMYFUNCTION("""COMPUTED_VALUE"""),2500)</f>
        <v>2500</v>
      </c>
      <c r="F545" s="30">
        <f ca="1">IFERROR(__xludf.DUMMYFUNCTION("""COMPUTED_VALUE"""),1)</f>
        <v>1</v>
      </c>
      <c r="G545" s="29">
        <f ca="1">IFERROR(__xludf.DUMMYFUNCTION("""COMPUTED_VALUE"""),10000)</f>
        <v>10000</v>
      </c>
      <c r="H545" s="30">
        <f ca="1">IFERROR(__xludf.DUMMYFUNCTION("""COMPUTED_VALUE"""),4)</f>
        <v>4</v>
      </c>
      <c r="I545" s="29">
        <f ca="1">IFERROR(__xludf.DUMMYFUNCTION("""COMPUTED_VALUE"""),2000)</f>
        <v>2000</v>
      </c>
      <c r="J545" s="29">
        <f ca="1">IFERROR(__xludf.DUMMYFUNCTION("""COMPUTED_VALUE"""),1)</f>
        <v>1</v>
      </c>
      <c r="K545" s="29">
        <f ca="1">IFERROR(__xludf.DUMMYFUNCTION("""COMPUTED_VALUE"""),2000)</f>
        <v>2000</v>
      </c>
      <c r="L545" s="29">
        <f ca="1">IFERROR(__xludf.DUMMYFUNCTION("""COMPUTED_VALUE"""),1)</f>
        <v>1</v>
      </c>
      <c r="M545" s="29">
        <f ca="1">IFERROR(__xludf.DUMMYFUNCTION("""COMPUTED_VALUE"""),0)</f>
        <v>0</v>
      </c>
      <c r="N545" s="29">
        <f ca="1">IFERROR(__xludf.DUMMYFUNCTION("""COMPUTED_VALUE"""),0)</f>
        <v>0</v>
      </c>
    </row>
    <row r="546" spans="2:14" ht="12.5">
      <c r="B546" s="2" t="str">
        <f ca="1">IFERROR(__xludf.DUMMYFUNCTION("""COMPUTED_VALUE"""),"飛鳥未来高")</f>
        <v>飛鳥未来高</v>
      </c>
      <c r="C546" s="2" t="str">
        <f ca="1">IFERROR(__xludf.DUMMYFUNCTION("""COMPUTED_VALUE"""),"#N/A")</f>
        <v>#N/A</v>
      </c>
      <c r="D546" s="31">
        <f ca="1">IFERROR(__xludf.DUMMYFUNCTION("""COMPUTED_VALUE"""),5000)</f>
        <v>5000</v>
      </c>
      <c r="E546" s="29">
        <f ca="1">IFERROR(__xludf.DUMMYFUNCTION("""COMPUTED_VALUE"""),5000)</f>
        <v>5000</v>
      </c>
      <c r="F546" s="30">
        <f ca="1">IFERROR(__xludf.DUMMYFUNCTION("""COMPUTED_VALUE"""),2)</f>
        <v>2</v>
      </c>
      <c r="G546" s="29">
        <f ca="1">IFERROR(__xludf.DUMMYFUNCTION("""COMPUTED_VALUE"""),0)</f>
        <v>0</v>
      </c>
      <c r="H546" s="30">
        <f ca="1">IFERROR(__xludf.DUMMYFUNCTION("""COMPUTED_VALUE"""),0)</f>
        <v>0</v>
      </c>
      <c r="I546" s="29">
        <f ca="1">IFERROR(__xludf.DUMMYFUNCTION("""COMPUTED_VALUE"""),0)</f>
        <v>0</v>
      </c>
      <c r="J546" s="29">
        <f ca="1">IFERROR(__xludf.DUMMYFUNCTION("""COMPUTED_VALUE"""),0)</f>
        <v>0</v>
      </c>
      <c r="K546" s="29">
        <f ca="1">IFERROR(__xludf.DUMMYFUNCTION("""COMPUTED_VALUE"""),0)</f>
        <v>0</v>
      </c>
      <c r="L546" s="29">
        <f ca="1">IFERROR(__xludf.DUMMYFUNCTION("""COMPUTED_VALUE"""),0)</f>
        <v>0</v>
      </c>
      <c r="M546" s="29">
        <f ca="1">IFERROR(__xludf.DUMMYFUNCTION("""COMPUTED_VALUE"""),0)</f>
        <v>0</v>
      </c>
      <c r="N546" s="29">
        <f ca="1">IFERROR(__xludf.DUMMYFUNCTION("""COMPUTED_VALUE"""),0)</f>
        <v>0</v>
      </c>
    </row>
    <row r="547" spans="2:14" ht="12.5">
      <c r="B547" s="2" t="str">
        <f ca="1">IFERROR(__xludf.DUMMYFUNCTION("""COMPUTED_VALUE"""),"龍野高")</f>
        <v>龍野高</v>
      </c>
      <c r="C547" s="2" t="str">
        <f ca="1">IFERROR(__xludf.DUMMYFUNCTION("""COMPUTED_VALUE"""),"#N/A")</f>
        <v>#N/A</v>
      </c>
      <c r="D547" s="31">
        <f ca="1">IFERROR(__xludf.DUMMYFUNCTION("""COMPUTED_VALUE"""),7500)</f>
        <v>7500</v>
      </c>
      <c r="E547" s="29">
        <f ca="1">IFERROR(__xludf.DUMMYFUNCTION("""COMPUTED_VALUE"""),2500)</f>
        <v>2500</v>
      </c>
      <c r="F547" s="30">
        <f ca="1">IFERROR(__xludf.DUMMYFUNCTION("""COMPUTED_VALUE"""),1)</f>
        <v>1</v>
      </c>
      <c r="G547" s="29">
        <f ca="1">IFERROR(__xludf.DUMMYFUNCTION("""COMPUTED_VALUE"""),5000)</f>
        <v>5000</v>
      </c>
      <c r="H547" s="30">
        <f ca="1">IFERROR(__xludf.DUMMYFUNCTION("""COMPUTED_VALUE"""),2)</f>
        <v>2</v>
      </c>
      <c r="I547" s="29">
        <f ca="1">IFERROR(__xludf.DUMMYFUNCTION("""COMPUTED_VALUE"""),6000)</f>
        <v>6000</v>
      </c>
      <c r="J547" s="29">
        <f ca="1">IFERROR(__xludf.DUMMYFUNCTION("""COMPUTED_VALUE"""),3)</f>
        <v>3</v>
      </c>
      <c r="K547" s="29">
        <f ca="1">IFERROR(__xludf.DUMMYFUNCTION("""COMPUTED_VALUE"""),18000)</f>
        <v>18000</v>
      </c>
      <c r="L547" s="29">
        <f ca="1">IFERROR(__xludf.DUMMYFUNCTION("""COMPUTED_VALUE"""),9)</f>
        <v>9</v>
      </c>
      <c r="M547" s="29">
        <f ca="1">IFERROR(__xludf.DUMMYFUNCTION("""COMPUTED_VALUE"""),0)</f>
        <v>0</v>
      </c>
      <c r="N547" s="29">
        <f ca="1">IFERROR(__xludf.DUMMYFUNCTION("""COMPUTED_VALUE"""),0)</f>
        <v>0</v>
      </c>
    </row>
    <row r="548" spans="2:14" ht="12.5">
      <c r="B548" s="2" t="str">
        <f ca="1">IFERROR(__xludf.DUMMYFUNCTION("""COMPUTED_VALUE"""),"東大寺学園高")</f>
        <v>東大寺学園高</v>
      </c>
      <c r="C548" s="2" t="str">
        <f ca="1">IFERROR(__xludf.DUMMYFUNCTION("""COMPUTED_VALUE"""),"#N/A")</f>
        <v>#N/A</v>
      </c>
      <c r="D548" s="31">
        <f ca="1">IFERROR(__xludf.DUMMYFUNCTION("""COMPUTED_VALUE"""),12500)</f>
        <v>12500</v>
      </c>
      <c r="E548" s="29">
        <f ca="1">IFERROR(__xludf.DUMMYFUNCTION("""COMPUTED_VALUE"""),2500)</f>
        <v>2500</v>
      </c>
      <c r="F548" s="30">
        <f ca="1">IFERROR(__xludf.DUMMYFUNCTION("""COMPUTED_VALUE"""),1)</f>
        <v>1</v>
      </c>
      <c r="G548" s="29">
        <f ca="1">IFERROR(__xludf.DUMMYFUNCTION("""COMPUTED_VALUE"""),10000)</f>
        <v>10000</v>
      </c>
      <c r="H548" s="30">
        <f ca="1">IFERROR(__xludf.DUMMYFUNCTION("""COMPUTED_VALUE"""),4)</f>
        <v>4</v>
      </c>
      <c r="I548" s="29">
        <f ca="1">IFERROR(__xludf.DUMMYFUNCTION("""COMPUTED_VALUE"""),2000)</f>
        <v>2000</v>
      </c>
      <c r="J548" s="29">
        <f ca="1">IFERROR(__xludf.DUMMYFUNCTION("""COMPUTED_VALUE"""),1)</f>
        <v>1</v>
      </c>
      <c r="K548" s="29">
        <f ca="1">IFERROR(__xludf.DUMMYFUNCTION("""COMPUTED_VALUE"""),4000)</f>
        <v>4000</v>
      </c>
      <c r="L548" s="29">
        <f ca="1">IFERROR(__xludf.DUMMYFUNCTION("""COMPUTED_VALUE"""),2)</f>
        <v>2</v>
      </c>
      <c r="M548" s="29">
        <f ca="1">IFERROR(__xludf.DUMMYFUNCTION("""COMPUTED_VALUE"""),0)</f>
        <v>0</v>
      </c>
      <c r="N548" s="29">
        <f ca="1">IFERROR(__xludf.DUMMYFUNCTION("""COMPUTED_VALUE"""),0)</f>
        <v>0</v>
      </c>
    </row>
    <row r="549" spans="2:14" ht="12.5">
      <c r="B549" s="2" t="str">
        <f ca="1">IFERROR(__xludf.DUMMYFUNCTION("""COMPUTED_VALUE"""),"国際高")</f>
        <v>国際高</v>
      </c>
      <c r="C549" s="2" t="str">
        <f ca="1">IFERROR(__xludf.DUMMYFUNCTION("""COMPUTED_VALUE"""),"#N/A")</f>
        <v>#N/A</v>
      </c>
      <c r="D549" s="31">
        <f ca="1">IFERROR(__xludf.DUMMYFUNCTION("""COMPUTED_VALUE"""),2500)</f>
        <v>2500</v>
      </c>
      <c r="E549" s="29">
        <f ca="1">IFERROR(__xludf.DUMMYFUNCTION("""COMPUTED_VALUE"""),2500)</f>
        <v>2500</v>
      </c>
      <c r="F549" s="30">
        <f ca="1">IFERROR(__xludf.DUMMYFUNCTION("""COMPUTED_VALUE"""),1)</f>
        <v>1</v>
      </c>
      <c r="G549" s="29">
        <f ca="1">IFERROR(__xludf.DUMMYFUNCTION("""COMPUTED_VALUE"""),0)</f>
        <v>0</v>
      </c>
      <c r="H549" s="30">
        <f ca="1">IFERROR(__xludf.DUMMYFUNCTION("""COMPUTED_VALUE"""),0)</f>
        <v>0</v>
      </c>
      <c r="I549" s="29">
        <f ca="1">IFERROR(__xludf.DUMMYFUNCTION("""COMPUTED_VALUE"""),0)</f>
        <v>0</v>
      </c>
      <c r="J549" s="29">
        <f ca="1">IFERROR(__xludf.DUMMYFUNCTION("""COMPUTED_VALUE"""),0)</f>
        <v>0</v>
      </c>
      <c r="K549" s="29">
        <f ca="1">IFERROR(__xludf.DUMMYFUNCTION("""COMPUTED_VALUE"""),0)</f>
        <v>0</v>
      </c>
      <c r="L549" s="29">
        <f ca="1">IFERROR(__xludf.DUMMYFUNCTION("""COMPUTED_VALUE"""),0)</f>
        <v>0</v>
      </c>
      <c r="M549" s="29">
        <f ca="1">IFERROR(__xludf.DUMMYFUNCTION("""COMPUTED_VALUE"""),0)</f>
        <v>0</v>
      </c>
      <c r="N549" s="29">
        <f ca="1">IFERROR(__xludf.DUMMYFUNCTION("""COMPUTED_VALUE"""),0)</f>
        <v>0</v>
      </c>
    </row>
    <row r="550" spans="2:14" ht="12.5">
      <c r="B550" s="2" t="str">
        <f ca="1">IFERROR(__xludf.DUMMYFUNCTION("""COMPUTED_VALUE"""),"松江北高")</f>
        <v>松江北高</v>
      </c>
      <c r="C550" s="2" t="str">
        <f ca="1">IFERROR(__xludf.DUMMYFUNCTION("""COMPUTED_VALUE"""),"#N/A")</f>
        <v>#N/A</v>
      </c>
      <c r="D550" s="31">
        <f ca="1">IFERROR(__xludf.DUMMYFUNCTION("""COMPUTED_VALUE"""),2500)</f>
        <v>2500</v>
      </c>
      <c r="E550" s="29">
        <f ca="1">IFERROR(__xludf.DUMMYFUNCTION("""COMPUTED_VALUE"""),2500)</f>
        <v>2500</v>
      </c>
      <c r="F550" s="30">
        <f ca="1">IFERROR(__xludf.DUMMYFUNCTION("""COMPUTED_VALUE"""),1)</f>
        <v>1</v>
      </c>
      <c r="G550" s="29">
        <f ca="1">IFERROR(__xludf.DUMMYFUNCTION("""COMPUTED_VALUE"""),0)</f>
        <v>0</v>
      </c>
      <c r="H550" s="30">
        <f ca="1">IFERROR(__xludf.DUMMYFUNCTION("""COMPUTED_VALUE"""),0)</f>
        <v>0</v>
      </c>
      <c r="I550" s="29">
        <f ca="1">IFERROR(__xludf.DUMMYFUNCTION("""COMPUTED_VALUE"""),2000)</f>
        <v>2000</v>
      </c>
      <c r="J550" s="29">
        <f ca="1">IFERROR(__xludf.DUMMYFUNCTION("""COMPUTED_VALUE"""),1)</f>
        <v>1</v>
      </c>
      <c r="K550" s="29">
        <f ca="1">IFERROR(__xludf.DUMMYFUNCTION("""COMPUTED_VALUE"""),14000)</f>
        <v>14000</v>
      </c>
      <c r="L550" s="29">
        <f ca="1">IFERROR(__xludf.DUMMYFUNCTION("""COMPUTED_VALUE"""),7)</f>
        <v>7</v>
      </c>
      <c r="M550" s="29">
        <f ca="1">IFERROR(__xludf.DUMMYFUNCTION("""COMPUTED_VALUE"""),0)</f>
        <v>0</v>
      </c>
      <c r="N550" s="29">
        <f ca="1">IFERROR(__xludf.DUMMYFUNCTION("""COMPUTED_VALUE"""),0)</f>
        <v>0</v>
      </c>
    </row>
    <row r="551" spans="2:14" ht="12.5">
      <c r="B551" s="2" t="str">
        <f ca="1">IFERROR(__xludf.DUMMYFUNCTION("""COMPUTED_VALUE"""),"祇園北高")</f>
        <v>祇園北高</v>
      </c>
      <c r="C551" s="2" t="str">
        <f ca="1">IFERROR(__xludf.DUMMYFUNCTION("""COMPUTED_VALUE"""),"#N/A")</f>
        <v>#N/A</v>
      </c>
      <c r="D551" s="31">
        <f ca="1">IFERROR(__xludf.DUMMYFUNCTION("""COMPUTED_VALUE"""),7500)</f>
        <v>7500</v>
      </c>
      <c r="E551" s="29">
        <f ca="1">IFERROR(__xludf.DUMMYFUNCTION("""COMPUTED_VALUE"""),2500)</f>
        <v>2500</v>
      </c>
      <c r="F551" s="30">
        <f ca="1">IFERROR(__xludf.DUMMYFUNCTION("""COMPUTED_VALUE"""),1)</f>
        <v>1</v>
      </c>
      <c r="G551" s="29">
        <f ca="1">IFERROR(__xludf.DUMMYFUNCTION("""COMPUTED_VALUE"""),5000)</f>
        <v>5000</v>
      </c>
      <c r="H551" s="30">
        <f ca="1">IFERROR(__xludf.DUMMYFUNCTION("""COMPUTED_VALUE"""),2)</f>
        <v>2</v>
      </c>
      <c r="I551" s="29">
        <f ca="1">IFERROR(__xludf.DUMMYFUNCTION("""COMPUTED_VALUE"""),10000)</f>
        <v>10000</v>
      </c>
      <c r="J551" s="29">
        <f ca="1">IFERROR(__xludf.DUMMYFUNCTION("""COMPUTED_VALUE"""),5)</f>
        <v>5</v>
      </c>
      <c r="K551" s="29">
        <f ca="1">IFERROR(__xludf.DUMMYFUNCTION("""COMPUTED_VALUE"""),14000)</f>
        <v>14000</v>
      </c>
      <c r="L551" s="29">
        <f ca="1">IFERROR(__xludf.DUMMYFUNCTION("""COMPUTED_VALUE"""),7)</f>
        <v>7</v>
      </c>
      <c r="M551" s="29">
        <f ca="1">IFERROR(__xludf.DUMMYFUNCTION("""COMPUTED_VALUE"""),0)</f>
        <v>0</v>
      </c>
      <c r="N551" s="29">
        <f ca="1">IFERROR(__xludf.DUMMYFUNCTION("""COMPUTED_VALUE"""),0)</f>
        <v>0</v>
      </c>
    </row>
    <row r="552" spans="2:14" ht="12.5">
      <c r="B552" s="2" t="str">
        <f ca="1">IFERROR(__xludf.DUMMYFUNCTION("""COMPUTED_VALUE"""),"筑紫女学園高")</f>
        <v>筑紫女学園高</v>
      </c>
      <c r="C552" s="2" t="str">
        <f ca="1">IFERROR(__xludf.DUMMYFUNCTION("""COMPUTED_VALUE"""),"#N/A")</f>
        <v>#N/A</v>
      </c>
      <c r="D552" s="31">
        <f ca="1">IFERROR(__xludf.DUMMYFUNCTION("""COMPUTED_VALUE"""),5000)</f>
        <v>5000</v>
      </c>
      <c r="E552" s="29">
        <f ca="1">IFERROR(__xludf.DUMMYFUNCTION("""COMPUTED_VALUE"""),2500)</f>
        <v>2500</v>
      </c>
      <c r="F552" s="30">
        <f ca="1">IFERROR(__xludf.DUMMYFUNCTION("""COMPUTED_VALUE"""),1)</f>
        <v>1</v>
      </c>
      <c r="G552" s="29">
        <f ca="1">IFERROR(__xludf.DUMMYFUNCTION("""COMPUTED_VALUE"""),2500)</f>
        <v>2500</v>
      </c>
      <c r="H552" s="30">
        <f ca="1">IFERROR(__xludf.DUMMYFUNCTION("""COMPUTED_VALUE"""),1)</f>
        <v>1</v>
      </c>
      <c r="I552" s="29">
        <f ca="1">IFERROR(__xludf.DUMMYFUNCTION("""COMPUTED_VALUE"""),12000)</f>
        <v>12000</v>
      </c>
      <c r="J552" s="29">
        <f ca="1">IFERROR(__xludf.DUMMYFUNCTION("""COMPUTED_VALUE"""),6)</f>
        <v>6</v>
      </c>
      <c r="K552" s="29">
        <f ca="1">IFERROR(__xludf.DUMMYFUNCTION("""COMPUTED_VALUE"""),8000)</f>
        <v>8000</v>
      </c>
      <c r="L552" s="29">
        <f ca="1">IFERROR(__xludf.DUMMYFUNCTION("""COMPUTED_VALUE"""),4)</f>
        <v>4</v>
      </c>
      <c r="M552" s="29">
        <f ca="1">IFERROR(__xludf.DUMMYFUNCTION("""COMPUTED_VALUE"""),0)</f>
        <v>0</v>
      </c>
      <c r="N552" s="29">
        <f ca="1">IFERROR(__xludf.DUMMYFUNCTION("""COMPUTED_VALUE"""),0)</f>
        <v>0</v>
      </c>
    </row>
    <row r="553" spans="2:14" ht="12.5">
      <c r="B553" s="2" t="str">
        <f ca="1">IFERROR(__xludf.DUMMYFUNCTION("""COMPUTED_VALUE"""),"福岡高")</f>
        <v>福岡高</v>
      </c>
      <c r="C553" s="2" t="str">
        <f ca="1">IFERROR(__xludf.DUMMYFUNCTION("""COMPUTED_VALUE"""),"#N/A")</f>
        <v>#N/A</v>
      </c>
      <c r="D553" s="31">
        <f ca="1">IFERROR(__xludf.DUMMYFUNCTION("""COMPUTED_VALUE"""),10000)</f>
        <v>10000</v>
      </c>
      <c r="E553" s="29">
        <f ca="1">IFERROR(__xludf.DUMMYFUNCTION("""COMPUTED_VALUE"""),2500)</f>
        <v>2500</v>
      </c>
      <c r="F553" s="30">
        <f ca="1">IFERROR(__xludf.DUMMYFUNCTION("""COMPUTED_VALUE"""),1)</f>
        <v>1</v>
      </c>
      <c r="G553" s="29">
        <f ca="1">IFERROR(__xludf.DUMMYFUNCTION("""COMPUTED_VALUE"""),7500)</f>
        <v>7500</v>
      </c>
      <c r="H553" s="30">
        <f ca="1">IFERROR(__xludf.DUMMYFUNCTION("""COMPUTED_VALUE"""),3)</f>
        <v>3</v>
      </c>
      <c r="I553" s="29">
        <f ca="1">IFERROR(__xludf.DUMMYFUNCTION("""COMPUTED_VALUE"""),16000)</f>
        <v>16000</v>
      </c>
      <c r="J553" s="29">
        <f ca="1">IFERROR(__xludf.DUMMYFUNCTION("""COMPUTED_VALUE"""),8)</f>
        <v>8</v>
      </c>
      <c r="K553" s="29">
        <f ca="1">IFERROR(__xludf.DUMMYFUNCTION("""COMPUTED_VALUE"""),16000)</f>
        <v>16000</v>
      </c>
      <c r="L553" s="29">
        <f ca="1">IFERROR(__xludf.DUMMYFUNCTION("""COMPUTED_VALUE"""),8)</f>
        <v>8</v>
      </c>
      <c r="M553" s="29">
        <f ca="1">IFERROR(__xludf.DUMMYFUNCTION("""COMPUTED_VALUE"""),0)</f>
        <v>0</v>
      </c>
      <c r="N553" s="29">
        <f ca="1">IFERROR(__xludf.DUMMYFUNCTION("""COMPUTED_VALUE"""),0)</f>
        <v>0</v>
      </c>
    </row>
    <row r="554" spans="2:14" ht="12.5">
      <c r="B554" s="2" t="str">
        <f ca="1">IFERROR(__xludf.DUMMYFUNCTION("""COMPUTED_VALUE"""),"佐賀北高")</f>
        <v>佐賀北高</v>
      </c>
      <c r="C554" s="2" t="str">
        <f ca="1">IFERROR(__xludf.DUMMYFUNCTION("""COMPUTED_VALUE"""),"#N/A")</f>
        <v>#N/A</v>
      </c>
      <c r="D554" s="31">
        <f ca="1">IFERROR(__xludf.DUMMYFUNCTION("""COMPUTED_VALUE"""),2500)</f>
        <v>2500</v>
      </c>
      <c r="E554" s="29">
        <f ca="1">IFERROR(__xludf.DUMMYFUNCTION("""COMPUTED_VALUE"""),2500)</f>
        <v>2500</v>
      </c>
      <c r="F554" s="30">
        <f ca="1">IFERROR(__xludf.DUMMYFUNCTION("""COMPUTED_VALUE"""),1)</f>
        <v>1</v>
      </c>
      <c r="G554" s="29">
        <f ca="1">IFERROR(__xludf.DUMMYFUNCTION("""COMPUTED_VALUE"""),0)</f>
        <v>0</v>
      </c>
      <c r="H554" s="30">
        <f ca="1">IFERROR(__xludf.DUMMYFUNCTION("""COMPUTED_VALUE"""),0)</f>
        <v>0</v>
      </c>
      <c r="I554" s="29">
        <f ca="1">IFERROR(__xludf.DUMMYFUNCTION("""COMPUTED_VALUE"""),0)</f>
        <v>0</v>
      </c>
      <c r="J554" s="29">
        <f ca="1">IFERROR(__xludf.DUMMYFUNCTION("""COMPUTED_VALUE"""),0)</f>
        <v>0</v>
      </c>
      <c r="K554" s="29">
        <f ca="1">IFERROR(__xludf.DUMMYFUNCTION("""COMPUTED_VALUE"""),0)</f>
        <v>0</v>
      </c>
      <c r="L554" s="29">
        <f ca="1">IFERROR(__xludf.DUMMYFUNCTION("""COMPUTED_VALUE"""),0)</f>
        <v>0</v>
      </c>
      <c r="M554" s="29">
        <f ca="1">IFERROR(__xludf.DUMMYFUNCTION("""COMPUTED_VALUE"""),0)</f>
        <v>0</v>
      </c>
      <c r="N554" s="29">
        <f ca="1">IFERROR(__xludf.DUMMYFUNCTION("""COMPUTED_VALUE"""),0)</f>
        <v>0</v>
      </c>
    </row>
    <row r="555" spans="2:14" ht="12.5">
      <c r="B555" s="2" t="str">
        <f ca="1">IFERROR(__xludf.DUMMYFUNCTION("""COMPUTED_VALUE"""),"熊本高")</f>
        <v>熊本高</v>
      </c>
      <c r="C555" s="2" t="str">
        <f ca="1">IFERROR(__xludf.DUMMYFUNCTION("""COMPUTED_VALUE"""),"#N/A")</f>
        <v>#N/A</v>
      </c>
      <c r="D555" s="31">
        <f ca="1">IFERROR(__xludf.DUMMYFUNCTION("""COMPUTED_VALUE"""),7500)</f>
        <v>7500</v>
      </c>
      <c r="E555" s="29">
        <f ca="1">IFERROR(__xludf.DUMMYFUNCTION("""COMPUTED_VALUE"""),2500)</f>
        <v>2500</v>
      </c>
      <c r="F555" s="30">
        <f ca="1">IFERROR(__xludf.DUMMYFUNCTION("""COMPUTED_VALUE"""),1)</f>
        <v>1</v>
      </c>
      <c r="G555" s="29">
        <f ca="1">IFERROR(__xludf.DUMMYFUNCTION("""COMPUTED_VALUE"""),5000)</f>
        <v>5000</v>
      </c>
      <c r="H555" s="30">
        <f ca="1">IFERROR(__xludf.DUMMYFUNCTION("""COMPUTED_VALUE"""),2)</f>
        <v>2</v>
      </c>
      <c r="I555" s="29">
        <f ca="1">IFERROR(__xludf.DUMMYFUNCTION("""COMPUTED_VALUE"""),4000)</f>
        <v>4000</v>
      </c>
      <c r="J555" s="29">
        <f ca="1">IFERROR(__xludf.DUMMYFUNCTION("""COMPUTED_VALUE"""),2)</f>
        <v>2</v>
      </c>
      <c r="K555" s="29">
        <f ca="1">IFERROR(__xludf.DUMMYFUNCTION("""COMPUTED_VALUE"""),8000)</f>
        <v>8000</v>
      </c>
      <c r="L555" s="29">
        <f ca="1">IFERROR(__xludf.DUMMYFUNCTION("""COMPUTED_VALUE"""),4)</f>
        <v>4</v>
      </c>
      <c r="M555" s="29">
        <f ca="1">IFERROR(__xludf.DUMMYFUNCTION("""COMPUTED_VALUE"""),0)</f>
        <v>0</v>
      </c>
      <c r="N555" s="29">
        <f ca="1">IFERROR(__xludf.DUMMYFUNCTION("""COMPUTED_VALUE"""),0)</f>
        <v>0</v>
      </c>
    </row>
    <row r="556" spans="2:14" ht="12.5">
      <c r="B556" s="2" t="str">
        <f ca="1">IFERROR(__xludf.DUMMYFUNCTION("""COMPUTED_VALUE"""),"中津南高")</f>
        <v>中津南高</v>
      </c>
      <c r="C556" s="2" t="str">
        <f ca="1">IFERROR(__xludf.DUMMYFUNCTION("""COMPUTED_VALUE"""),"#N/A")</f>
        <v>#N/A</v>
      </c>
      <c r="D556" s="31">
        <f ca="1">IFERROR(__xludf.DUMMYFUNCTION("""COMPUTED_VALUE"""),12500)</f>
        <v>12500</v>
      </c>
      <c r="E556" s="29">
        <f ca="1">IFERROR(__xludf.DUMMYFUNCTION("""COMPUTED_VALUE"""),2500)</f>
        <v>2500</v>
      </c>
      <c r="F556" s="30">
        <f ca="1">IFERROR(__xludf.DUMMYFUNCTION("""COMPUTED_VALUE"""),1)</f>
        <v>1</v>
      </c>
      <c r="G556" s="29">
        <f ca="1">IFERROR(__xludf.DUMMYFUNCTION("""COMPUTED_VALUE"""),10000)</f>
        <v>10000</v>
      </c>
      <c r="H556" s="30">
        <f ca="1">IFERROR(__xludf.DUMMYFUNCTION("""COMPUTED_VALUE"""),4)</f>
        <v>4</v>
      </c>
      <c r="I556" s="29">
        <f ca="1">IFERROR(__xludf.DUMMYFUNCTION("""COMPUTED_VALUE"""),8000)</f>
        <v>8000</v>
      </c>
      <c r="J556" s="29">
        <f ca="1">IFERROR(__xludf.DUMMYFUNCTION("""COMPUTED_VALUE"""),4)</f>
        <v>4</v>
      </c>
      <c r="K556" s="29">
        <f ca="1">IFERROR(__xludf.DUMMYFUNCTION("""COMPUTED_VALUE"""),22000)</f>
        <v>22000</v>
      </c>
      <c r="L556" s="29">
        <f ca="1">IFERROR(__xludf.DUMMYFUNCTION("""COMPUTED_VALUE"""),11)</f>
        <v>11</v>
      </c>
      <c r="M556" s="29">
        <f ca="1">IFERROR(__xludf.DUMMYFUNCTION("""COMPUTED_VALUE"""),0)</f>
        <v>0</v>
      </c>
      <c r="N556" s="29">
        <f ca="1">IFERROR(__xludf.DUMMYFUNCTION("""COMPUTED_VALUE"""),0)</f>
        <v>0</v>
      </c>
    </row>
    <row r="557" spans="2:14" ht="12.5">
      <c r="B557" s="2" t="str">
        <f ca="1">IFERROR(__xludf.DUMMYFUNCTION("""COMPUTED_VALUE"""),"函館中部高")</f>
        <v>函館中部高</v>
      </c>
      <c r="C557" s="2" t="str">
        <f ca="1">IFERROR(__xludf.DUMMYFUNCTION("""COMPUTED_VALUE"""),"#N/A")</f>
        <v>#N/A</v>
      </c>
      <c r="D557" s="31">
        <f ca="1">IFERROR(__xludf.DUMMYFUNCTION("""COMPUTED_VALUE"""),2500)</f>
        <v>2500</v>
      </c>
      <c r="E557" s="29">
        <f ca="1">IFERROR(__xludf.DUMMYFUNCTION("""COMPUTED_VALUE"""),0)</f>
        <v>0</v>
      </c>
      <c r="F557" s="30">
        <f ca="1">IFERROR(__xludf.DUMMYFUNCTION("""COMPUTED_VALUE"""),0)</f>
        <v>0</v>
      </c>
      <c r="G557" s="29">
        <f ca="1">IFERROR(__xludf.DUMMYFUNCTION("""COMPUTED_VALUE"""),2500)</f>
        <v>2500</v>
      </c>
      <c r="H557" s="30">
        <f ca="1">IFERROR(__xludf.DUMMYFUNCTION("""COMPUTED_VALUE"""),1)</f>
        <v>1</v>
      </c>
      <c r="I557" s="29">
        <f ca="1">IFERROR(__xludf.DUMMYFUNCTION("""COMPUTED_VALUE"""),0)</f>
        <v>0</v>
      </c>
      <c r="J557" s="29">
        <f ca="1">IFERROR(__xludf.DUMMYFUNCTION("""COMPUTED_VALUE"""),0)</f>
        <v>0</v>
      </c>
      <c r="K557" s="29">
        <f ca="1">IFERROR(__xludf.DUMMYFUNCTION("""COMPUTED_VALUE"""),0)</f>
        <v>0</v>
      </c>
      <c r="L557" s="29">
        <f ca="1">IFERROR(__xludf.DUMMYFUNCTION("""COMPUTED_VALUE"""),0)</f>
        <v>0</v>
      </c>
      <c r="M557" s="29">
        <f ca="1">IFERROR(__xludf.DUMMYFUNCTION("""COMPUTED_VALUE"""),0)</f>
        <v>0</v>
      </c>
      <c r="N557" s="29">
        <f ca="1">IFERROR(__xludf.DUMMYFUNCTION("""COMPUTED_VALUE"""),0)</f>
        <v>0</v>
      </c>
    </row>
    <row r="558" spans="2:14" ht="12.5">
      <c r="B558" s="2" t="str">
        <f ca="1">IFERROR(__xludf.DUMMYFUNCTION("""COMPUTED_VALUE"""),"五所川原高")</f>
        <v>五所川原高</v>
      </c>
      <c r="C558" s="2" t="str">
        <f ca="1">IFERROR(__xludf.DUMMYFUNCTION("""COMPUTED_VALUE"""),"#N/A")</f>
        <v>#N/A</v>
      </c>
      <c r="D558" s="31">
        <f ca="1">IFERROR(__xludf.DUMMYFUNCTION("""COMPUTED_VALUE"""),5000)</f>
        <v>5000</v>
      </c>
      <c r="E558" s="29">
        <f ca="1">IFERROR(__xludf.DUMMYFUNCTION("""COMPUTED_VALUE"""),0)</f>
        <v>0</v>
      </c>
      <c r="F558" s="30">
        <f ca="1">IFERROR(__xludf.DUMMYFUNCTION("""COMPUTED_VALUE"""),0)</f>
        <v>0</v>
      </c>
      <c r="G558" s="29">
        <f ca="1">IFERROR(__xludf.DUMMYFUNCTION("""COMPUTED_VALUE"""),5000)</f>
        <v>5000</v>
      </c>
      <c r="H558" s="30">
        <f ca="1">IFERROR(__xludf.DUMMYFUNCTION("""COMPUTED_VALUE"""),2)</f>
        <v>2</v>
      </c>
      <c r="I558" s="29">
        <f ca="1">IFERROR(__xludf.DUMMYFUNCTION("""COMPUTED_VALUE"""),12000)</f>
        <v>12000</v>
      </c>
      <c r="J558" s="29">
        <f ca="1">IFERROR(__xludf.DUMMYFUNCTION("""COMPUTED_VALUE"""),6)</f>
        <v>6</v>
      </c>
      <c r="K558" s="29">
        <f ca="1">IFERROR(__xludf.DUMMYFUNCTION("""COMPUTED_VALUE"""),8000)</f>
        <v>8000</v>
      </c>
      <c r="L558" s="29">
        <f ca="1">IFERROR(__xludf.DUMMYFUNCTION("""COMPUTED_VALUE"""),4)</f>
        <v>4</v>
      </c>
      <c r="M558" s="29">
        <f ca="1">IFERROR(__xludf.DUMMYFUNCTION("""COMPUTED_VALUE"""),0)</f>
        <v>0</v>
      </c>
      <c r="N558" s="29">
        <f ca="1">IFERROR(__xludf.DUMMYFUNCTION("""COMPUTED_VALUE"""),0)</f>
        <v>0</v>
      </c>
    </row>
    <row r="559" spans="2:14" ht="12.5">
      <c r="B559" s="2" t="str">
        <f ca="1">IFERROR(__xludf.DUMMYFUNCTION("""COMPUTED_VALUE"""),"仙台第三高")</f>
        <v>仙台第三高</v>
      </c>
      <c r="C559" s="2" t="str">
        <f ca="1">IFERROR(__xludf.DUMMYFUNCTION("""COMPUTED_VALUE"""),"#N/A")</f>
        <v>#N/A</v>
      </c>
      <c r="D559" s="31">
        <f ca="1">IFERROR(__xludf.DUMMYFUNCTION("""COMPUTED_VALUE"""),2500)</f>
        <v>2500</v>
      </c>
      <c r="E559" s="29">
        <f ca="1">IFERROR(__xludf.DUMMYFUNCTION("""COMPUTED_VALUE"""),0)</f>
        <v>0</v>
      </c>
      <c r="F559" s="30">
        <f ca="1">IFERROR(__xludf.DUMMYFUNCTION("""COMPUTED_VALUE"""),0)</f>
        <v>0</v>
      </c>
      <c r="G559" s="29">
        <f ca="1">IFERROR(__xludf.DUMMYFUNCTION("""COMPUTED_VALUE"""),2500)</f>
        <v>2500</v>
      </c>
      <c r="H559" s="30">
        <f ca="1">IFERROR(__xludf.DUMMYFUNCTION("""COMPUTED_VALUE"""),1)</f>
        <v>1</v>
      </c>
      <c r="I559" s="29">
        <f ca="1">IFERROR(__xludf.DUMMYFUNCTION("""COMPUTED_VALUE"""),0)</f>
        <v>0</v>
      </c>
      <c r="J559" s="29">
        <f ca="1">IFERROR(__xludf.DUMMYFUNCTION("""COMPUTED_VALUE"""),0)</f>
        <v>0</v>
      </c>
      <c r="K559" s="29">
        <f ca="1">IFERROR(__xludf.DUMMYFUNCTION("""COMPUTED_VALUE"""),0)</f>
        <v>0</v>
      </c>
      <c r="L559" s="29">
        <f ca="1">IFERROR(__xludf.DUMMYFUNCTION("""COMPUTED_VALUE"""),0)</f>
        <v>0</v>
      </c>
      <c r="M559" s="29">
        <f ca="1">IFERROR(__xludf.DUMMYFUNCTION("""COMPUTED_VALUE"""),0)</f>
        <v>0</v>
      </c>
      <c r="N559" s="29">
        <f ca="1">IFERROR(__xludf.DUMMYFUNCTION("""COMPUTED_VALUE"""),0)</f>
        <v>0</v>
      </c>
    </row>
    <row r="560" spans="2:14" ht="12.5">
      <c r="B560" s="2" t="str">
        <f ca="1">IFERROR(__xludf.DUMMYFUNCTION("""COMPUTED_VALUE"""),"大館鳳鳴高")</f>
        <v>大館鳳鳴高</v>
      </c>
      <c r="C560" s="2" t="str">
        <f ca="1">IFERROR(__xludf.DUMMYFUNCTION("""COMPUTED_VALUE"""),"#N/A")</f>
        <v>#N/A</v>
      </c>
      <c r="D560" s="31">
        <f ca="1">IFERROR(__xludf.DUMMYFUNCTION("""COMPUTED_VALUE"""),5000)</f>
        <v>5000</v>
      </c>
      <c r="E560" s="29">
        <f ca="1">IFERROR(__xludf.DUMMYFUNCTION("""COMPUTED_VALUE"""),0)</f>
        <v>0</v>
      </c>
      <c r="F560" s="30">
        <f ca="1">IFERROR(__xludf.DUMMYFUNCTION("""COMPUTED_VALUE"""),0)</f>
        <v>0</v>
      </c>
      <c r="G560" s="29">
        <f ca="1">IFERROR(__xludf.DUMMYFUNCTION("""COMPUTED_VALUE"""),5000)</f>
        <v>5000</v>
      </c>
      <c r="H560" s="30">
        <f ca="1">IFERROR(__xludf.DUMMYFUNCTION("""COMPUTED_VALUE"""),2)</f>
        <v>2</v>
      </c>
      <c r="I560" s="29">
        <f ca="1">IFERROR(__xludf.DUMMYFUNCTION("""COMPUTED_VALUE"""),12000)</f>
        <v>12000</v>
      </c>
      <c r="J560" s="29">
        <f ca="1">IFERROR(__xludf.DUMMYFUNCTION("""COMPUTED_VALUE"""),6)</f>
        <v>6</v>
      </c>
      <c r="K560" s="29">
        <f ca="1">IFERROR(__xludf.DUMMYFUNCTION("""COMPUTED_VALUE"""),14000)</f>
        <v>14000</v>
      </c>
      <c r="L560" s="29">
        <f ca="1">IFERROR(__xludf.DUMMYFUNCTION("""COMPUTED_VALUE"""),7)</f>
        <v>7</v>
      </c>
      <c r="M560" s="29">
        <f ca="1">IFERROR(__xludf.DUMMYFUNCTION("""COMPUTED_VALUE"""),0)</f>
        <v>0</v>
      </c>
      <c r="N560" s="29">
        <f ca="1">IFERROR(__xludf.DUMMYFUNCTION("""COMPUTED_VALUE"""),0)</f>
        <v>0</v>
      </c>
    </row>
    <row r="561" spans="2:14" ht="12.5">
      <c r="B561" s="2" t="str">
        <f ca="1">IFERROR(__xludf.DUMMYFUNCTION("""COMPUTED_VALUE"""),"鉾田第一高")</f>
        <v>鉾田第一高</v>
      </c>
      <c r="C561" s="2" t="str">
        <f ca="1">IFERROR(__xludf.DUMMYFUNCTION("""COMPUTED_VALUE"""),"#N/A")</f>
        <v>#N/A</v>
      </c>
      <c r="D561" s="31">
        <f ca="1">IFERROR(__xludf.DUMMYFUNCTION("""COMPUTED_VALUE"""),7500)</f>
        <v>7500</v>
      </c>
      <c r="E561" s="29">
        <f ca="1">IFERROR(__xludf.DUMMYFUNCTION("""COMPUTED_VALUE"""),0)</f>
        <v>0</v>
      </c>
      <c r="F561" s="30">
        <f ca="1">IFERROR(__xludf.DUMMYFUNCTION("""COMPUTED_VALUE"""),0)</f>
        <v>0</v>
      </c>
      <c r="G561" s="29">
        <f ca="1">IFERROR(__xludf.DUMMYFUNCTION("""COMPUTED_VALUE"""),7500)</f>
        <v>7500</v>
      </c>
      <c r="H561" s="30">
        <f ca="1">IFERROR(__xludf.DUMMYFUNCTION("""COMPUTED_VALUE"""),3)</f>
        <v>3</v>
      </c>
      <c r="I561" s="29">
        <f ca="1">IFERROR(__xludf.DUMMYFUNCTION("""COMPUTED_VALUE"""),16000)</f>
        <v>16000</v>
      </c>
      <c r="J561" s="29">
        <f ca="1">IFERROR(__xludf.DUMMYFUNCTION("""COMPUTED_VALUE"""),8)</f>
        <v>8</v>
      </c>
      <c r="K561" s="29">
        <f ca="1">IFERROR(__xludf.DUMMYFUNCTION("""COMPUTED_VALUE"""),2000)</f>
        <v>2000</v>
      </c>
      <c r="L561" s="29">
        <f ca="1">IFERROR(__xludf.DUMMYFUNCTION("""COMPUTED_VALUE"""),1)</f>
        <v>1</v>
      </c>
      <c r="M561" s="29">
        <f ca="1">IFERROR(__xludf.DUMMYFUNCTION("""COMPUTED_VALUE"""),0)</f>
        <v>0</v>
      </c>
      <c r="N561" s="29">
        <f ca="1">IFERROR(__xludf.DUMMYFUNCTION("""COMPUTED_VALUE"""),0)</f>
        <v>0</v>
      </c>
    </row>
    <row r="562" spans="2:14" ht="12.5">
      <c r="B562" s="2" t="str">
        <f ca="1">IFERROR(__xludf.DUMMYFUNCTION("""COMPUTED_VALUE"""),"宇都宮高")</f>
        <v>宇都宮高</v>
      </c>
      <c r="C562" s="2" t="str">
        <f ca="1">IFERROR(__xludf.DUMMYFUNCTION("""COMPUTED_VALUE"""),"#N/A")</f>
        <v>#N/A</v>
      </c>
      <c r="D562" s="31">
        <f ca="1">IFERROR(__xludf.DUMMYFUNCTION("""COMPUTED_VALUE"""),15000)</f>
        <v>15000</v>
      </c>
      <c r="E562" s="29">
        <f ca="1">IFERROR(__xludf.DUMMYFUNCTION("""COMPUTED_VALUE"""),0)</f>
        <v>0</v>
      </c>
      <c r="F562" s="30">
        <f ca="1">IFERROR(__xludf.DUMMYFUNCTION("""COMPUTED_VALUE"""),0)</f>
        <v>0</v>
      </c>
      <c r="G562" s="29">
        <f ca="1">IFERROR(__xludf.DUMMYFUNCTION("""COMPUTED_VALUE"""),15000)</f>
        <v>15000</v>
      </c>
      <c r="H562" s="30">
        <f ca="1">IFERROR(__xludf.DUMMYFUNCTION("""COMPUTED_VALUE"""),6)</f>
        <v>6</v>
      </c>
      <c r="I562" s="29">
        <f ca="1">IFERROR(__xludf.DUMMYFUNCTION("""COMPUTED_VALUE"""),12000)</f>
        <v>12000</v>
      </c>
      <c r="J562" s="29">
        <f ca="1">IFERROR(__xludf.DUMMYFUNCTION("""COMPUTED_VALUE"""),6)</f>
        <v>6</v>
      </c>
      <c r="K562" s="29">
        <f ca="1">IFERROR(__xludf.DUMMYFUNCTION("""COMPUTED_VALUE"""),6000)</f>
        <v>6000</v>
      </c>
      <c r="L562" s="29">
        <f ca="1">IFERROR(__xludf.DUMMYFUNCTION("""COMPUTED_VALUE"""),3)</f>
        <v>3</v>
      </c>
      <c r="M562" s="29">
        <f ca="1">IFERROR(__xludf.DUMMYFUNCTION("""COMPUTED_VALUE"""),0)</f>
        <v>0</v>
      </c>
      <c r="N562" s="29">
        <f ca="1">IFERROR(__xludf.DUMMYFUNCTION("""COMPUTED_VALUE"""),0)</f>
        <v>0</v>
      </c>
    </row>
    <row r="563" spans="2:14" ht="12.5">
      <c r="B563" s="2" t="str">
        <f ca="1">IFERROR(__xludf.DUMMYFUNCTION("""COMPUTED_VALUE"""),"宇都宮女子高")</f>
        <v>宇都宮女子高</v>
      </c>
      <c r="C563" s="2" t="str">
        <f ca="1">IFERROR(__xludf.DUMMYFUNCTION("""COMPUTED_VALUE"""),"#N/A")</f>
        <v>#N/A</v>
      </c>
      <c r="D563" s="31">
        <f ca="1">IFERROR(__xludf.DUMMYFUNCTION("""COMPUTED_VALUE"""),17500)</f>
        <v>17500</v>
      </c>
      <c r="E563" s="29">
        <f ca="1">IFERROR(__xludf.DUMMYFUNCTION("""COMPUTED_VALUE"""),0)</f>
        <v>0</v>
      </c>
      <c r="F563" s="30">
        <f ca="1">IFERROR(__xludf.DUMMYFUNCTION("""COMPUTED_VALUE"""),0)</f>
        <v>0</v>
      </c>
      <c r="G563" s="29">
        <f ca="1">IFERROR(__xludf.DUMMYFUNCTION("""COMPUTED_VALUE"""),17500)</f>
        <v>17500</v>
      </c>
      <c r="H563" s="30">
        <f ca="1">IFERROR(__xludf.DUMMYFUNCTION("""COMPUTED_VALUE"""),7)</f>
        <v>7</v>
      </c>
      <c r="I563" s="29">
        <f ca="1">IFERROR(__xludf.DUMMYFUNCTION("""COMPUTED_VALUE"""),10000)</f>
        <v>10000</v>
      </c>
      <c r="J563" s="29">
        <f ca="1">IFERROR(__xludf.DUMMYFUNCTION("""COMPUTED_VALUE"""),5)</f>
        <v>5</v>
      </c>
      <c r="K563" s="29">
        <f ca="1">IFERROR(__xludf.DUMMYFUNCTION("""COMPUTED_VALUE"""),4000)</f>
        <v>4000</v>
      </c>
      <c r="L563" s="29">
        <f ca="1">IFERROR(__xludf.DUMMYFUNCTION("""COMPUTED_VALUE"""),2)</f>
        <v>2</v>
      </c>
      <c r="M563" s="29">
        <f ca="1">IFERROR(__xludf.DUMMYFUNCTION("""COMPUTED_VALUE"""),0)</f>
        <v>0</v>
      </c>
      <c r="N563" s="29">
        <f ca="1">IFERROR(__xludf.DUMMYFUNCTION("""COMPUTED_VALUE"""),0)</f>
        <v>0</v>
      </c>
    </row>
    <row r="564" spans="2:14" ht="12.5">
      <c r="B564" s="2" t="str">
        <f ca="1">IFERROR(__xludf.DUMMYFUNCTION("""COMPUTED_VALUE"""),"宇都宮北高")</f>
        <v>宇都宮北高</v>
      </c>
      <c r="C564" s="2" t="str">
        <f ca="1">IFERROR(__xludf.DUMMYFUNCTION("""COMPUTED_VALUE"""),"#N/A")</f>
        <v>#N/A</v>
      </c>
      <c r="D564" s="31">
        <f ca="1">IFERROR(__xludf.DUMMYFUNCTION("""COMPUTED_VALUE"""),2500)</f>
        <v>2500</v>
      </c>
      <c r="E564" s="29">
        <f ca="1">IFERROR(__xludf.DUMMYFUNCTION("""COMPUTED_VALUE"""),0)</f>
        <v>0</v>
      </c>
      <c r="F564" s="30">
        <f ca="1">IFERROR(__xludf.DUMMYFUNCTION("""COMPUTED_VALUE"""),0)</f>
        <v>0</v>
      </c>
      <c r="G564" s="29">
        <f ca="1">IFERROR(__xludf.DUMMYFUNCTION("""COMPUTED_VALUE"""),2500)</f>
        <v>2500</v>
      </c>
      <c r="H564" s="30">
        <f ca="1">IFERROR(__xludf.DUMMYFUNCTION("""COMPUTED_VALUE"""),1)</f>
        <v>1</v>
      </c>
      <c r="I564" s="29">
        <f ca="1">IFERROR(__xludf.DUMMYFUNCTION("""COMPUTED_VALUE"""),0)</f>
        <v>0</v>
      </c>
      <c r="J564" s="29">
        <f ca="1">IFERROR(__xludf.DUMMYFUNCTION("""COMPUTED_VALUE"""),0)</f>
        <v>0</v>
      </c>
      <c r="K564" s="29">
        <f ca="1">IFERROR(__xludf.DUMMYFUNCTION("""COMPUTED_VALUE"""),4000)</f>
        <v>4000</v>
      </c>
      <c r="L564" s="29">
        <f ca="1">IFERROR(__xludf.DUMMYFUNCTION("""COMPUTED_VALUE"""),2)</f>
        <v>2</v>
      </c>
      <c r="M564" s="29">
        <f ca="1">IFERROR(__xludf.DUMMYFUNCTION("""COMPUTED_VALUE"""),0)</f>
        <v>0</v>
      </c>
      <c r="N564" s="29">
        <f ca="1">IFERROR(__xludf.DUMMYFUNCTION("""COMPUTED_VALUE"""),0)</f>
        <v>0</v>
      </c>
    </row>
    <row r="565" spans="2:14" ht="12.5">
      <c r="B565" s="2" t="str">
        <f ca="1">IFERROR(__xludf.DUMMYFUNCTION("""COMPUTED_VALUE"""),"千葉高")</f>
        <v>千葉高</v>
      </c>
      <c r="C565" s="2" t="str">
        <f ca="1">IFERROR(__xludf.DUMMYFUNCTION("""COMPUTED_VALUE"""),"#N/A")</f>
        <v>#N/A</v>
      </c>
      <c r="D565" s="31">
        <f ca="1">IFERROR(__xludf.DUMMYFUNCTION("""COMPUTED_VALUE"""),2500)</f>
        <v>2500</v>
      </c>
      <c r="E565" s="29">
        <f ca="1">IFERROR(__xludf.DUMMYFUNCTION("""COMPUTED_VALUE"""),0)</f>
        <v>0</v>
      </c>
      <c r="F565" s="30">
        <f ca="1">IFERROR(__xludf.DUMMYFUNCTION("""COMPUTED_VALUE"""),0)</f>
        <v>0</v>
      </c>
      <c r="G565" s="29">
        <f ca="1">IFERROR(__xludf.DUMMYFUNCTION("""COMPUTED_VALUE"""),2500)</f>
        <v>2500</v>
      </c>
      <c r="H565" s="30">
        <f ca="1">IFERROR(__xludf.DUMMYFUNCTION("""COMPUTED_VALUE"""),1)</f>
        <v>1</v>
      </c>
      <c r="I565" s="29">
        <f ca="1">IFERROR(__xludf.DUMMYFUNCTION("""COMPUTED_VALUE"""),0)</f>
        <v>0</v>
      </c>
      <c r="J565" s="29">
        <f ca="1">IFERROR(__xludf.DUMMYFUNCTION("""COMPUTED_VALUE"""),0)</f>
        <v>0</v>
      </c>
      <c r="K565" s="29">
        <f ca="1">IFERROR(__xludf.DUMMYFUNCTION("""COMPUTED_VALUE"""),12000)</f>
        <v>12000</v>
      </c>
      <c r="L565" s="29">
        <f ca="1">IFERROR(__xludf.DUMMYFUNCTION("""COMPUTED_VALUE"""),6)</f>
        <v>6</v>
      </c>
      <c r="M565" s="29">
        <f ca="1">IFERROR(__xludf.DUMMYFUNCTION("""COMPUTED_VALUE"""),0)</f>
        <v>0</v>
      </c>
      <c r="N565" s="29">
        <f ca="1">IFERROR(__xludf.DUMMYFUNCTION("""COMPUTED_VALUE"""),0)</f>
        <v>0</v>
      </c>
    </row>
    <row r="566" spans="2:14" ht="12.5">
      <c r="B566" s="2" t="str">
        <f ca="1">IFERROR(__xludf.DUMMYFUNCTION("""COMPUTED_VALUE"""),"学習院女子")</f>
        <v>学習院女子</v>
      </c>
      <c r="C566" s="2" t="str">
        <f ca="1">IFERROR(__xludf.DUMMYFUNCTION("""COMPUTED_VALUE"""),"#N/A")</f>
        <v>#N/A</v>
      </c>
      <c r="D566" s="31">
        <f ca="1">IFERROR(__xludf.DUMMYFUNCTION("""COMPUTED_VALUE"""),2500)</f>
        <v>2500</v>
      </c>
      <c r="E566" s="29">
        <f ca="1">IFERROR(__xludf.DUMMYFUNCTION("""COMPUTED_VALUE"""),0)</f>
        <v>0</v>
      </c>
      <c r="F566" s="30">
        <f ca="1">IFERROR(__xludf.DUMMYFUNCTION("""COMPUTED_VALUE"""),0)</f>
        <v>0</v>
      </c>
      <c r="G566" s="29">
        <f ca="1">IFERROR(__xludf.DUMMYFUNCTION("""COMPUTED_VALUE"""),2500)</f>
        <v>2500</v>
      </c>
      <c r="H566" s="30">
        <f ca="1">IFERROR(__xludf.DUMMYFUNCTION("""COMPUTED_VALUE"""),1)</f>
        <v>1</v>
      </c>
      <c r="I566" s="29">
        <f ca="1">IFERROR(__xludf.DUMMYFUNCTION("""COMPUTED_VALUE"""),0)</f>
        <v>0</v>
      </c>
      <c r="J566" s="29">
        <f ca="1">IFERROR(__xludf.DUMMYFUNCTION("""COMPUTED_VALUE"""),0)</f>
        <v>0</v>
      </c>
      <c r="K566" s="29">
        <f ca="1">IFERROR(__xludf.DUMMYFUNCTION("""COMPUTED_VALUE"""),2000)</f>
        <v>2000</v>
      </c>
      <c r="L566" s="29">
        <f ca="1">IFERROR(__xludf.DUMMYFUNCTION("""COMPUTED_VALUE"""),1)</f>
        <v>1</v>
      </c>
      <c r="M566" s="29">
        <f ca="1">IFERROR(__xludf.DUMMYFUNCTION("""COMPUTED_VALUE"""),0)</f>
        <v>0</v>
      </c>
      <c r="N566" s="29">
        <f ca="1">IFERROR(__xludf.DUMMYFUNCTION("""COMPUTED_VALUE"""),0)</f>
        <v>0</v>
      </c>
    </row>
    <row r="567" spans="2:14" ht="12.5">
      <c r="B567" s="2" t="str">
        <f ca="1">IFERROR(__xludf.DUMMYFUNCTION("""COMPUTED_VALUE"""),"共立女子高")</f>
        <v>共立女子高</v>
      </c>
      <c r="C567" s="2" t="str">
        <f ca="1">IFERROR(__xludf.DUMMYFUNCTION("""COMPUTED_VALUE"""),"#N/A")</f>
        <v>#N/A</v>
      </c>
      <c r="D567" s="31">
        <f ca="1">IFERROR(__xludf.DUMMYFUNCTION("""COMPUTED_VALUE"""),2500)</f>
        <v>2500</v>
      </c>
      <c r="E567" s="29">
        <f ca="1">IFERROR(__xludf.DUMMYFUNCTION("""COMPUTED_VALUE"""),0)</f>
        <v>0</v>
      </c>
      <c r="F567" s="30">
        <f ca="1">IFERROR(__xludf.DUMMYFUNCTION("""COMPUTED_VALUE"""),0)</f>
        <v>0</v>
      </c>
      <c r="G567" s="29">
        <f ca="1">IFERROR(__xludf.DUMMYFUNCTION("""COMPUTED_VALUE"""),2500)</f>
        <v>2500</v>
      </c>
      <c r="H567" s="30">
        <f ca="1">IFERROR(__xludf.DUMMYFUNCTION("""COMPUTED_VALUE"""),1)</f>
        <v>1</v>
      </c>
      <c r="I567" s="29">
        <f ca="1">IFERROR(__xludf.DUMMYFUNCTION("""COMPUTED_VALUE"""),6000)</f>
        <v>6000</v>
      </c>
      <c r="J567" s="29">
        <f ca="1">IFERROR(__xludf.DUMMYFUNCTION("""COMPUTED_VALUE"""),3)</f>
        <v>3</v>
      </c>
      <c r="K567" s="29">
        <f ca="1">IFERROR(__xludf.DUMMYFUNCTION("""COMPUTED_VALUE"""),2000)</f>
        <v>2000</v>
      </c>
      <c r="L567" s="29">
        <f ca="1">IFERROR(__xludf.DUMMYFUNCTION("""COMPUTED_VALUE"""),1)</f>
        <v>1</v>
      </c>
      <c r="M567" s="29">
        <f ca="1">IFERROR(__xludf.DUMMYFUNCTION("""COMPUTED_VALUE"""),0)</f>
        <v>0</v>
      </c>
      <c r="N567" s="29">
        <f ca="1">IFERROR(__xludf.DUMMYFUNCTION("""COMPUTED_VALUE"""),0)</f>
        <v>0</v>
      </c>
    </row>
    <row r="568" spans="2:14" ht="12.5">
      <c r="B568" s="2" t="str">
        <f ca="1">IFERROR(__xludf.DUMMYFUNCTION("""COMPUTED_VALUE"""),"桜蔭高")</f>
        <v>桜蔭高</v>
      </c>
      <c r="C568" s="2" t="str">
        <f ca="1">IFERROR(__xludf.DUMMYFUNCTION("""COMPUTED_VALUE"""),"#N/A")</f>
        <v>#N/A</v>
      </c>
      <c r="D568" s="31">
        <f ca="1">IFERROR(__xludf.DUMMYFUNCTION("""COMPUTED_VALUE"""),5000)</f>
        <v>5000</v>
      </c>
      <c r="E568" s="29">
        <f ca="1">IFERROR(__xludf.DUMMYFUNCTION("""COMPUTED_VALUE"""),0)</f>
        <v>0</v>
      </c>
      <c r="F568" s="30">
        <f ca="1">IFERROR(__xludf.DUMMYFUNCTION("""COMPUTED_VALUE"""),0)</f>
        <v>0</v>
      </c>
      <c r="G568" s="29">
        <f ca="1">IFERROR(__xludf.DUMMYFUNCTION("""COMPUTED_VALUE"""),5000)</f>
        <v>5000</v>
      </c>
      <c r="H568" s="30">
        <f ca="1">IFERROR(__xludf.DUMMYFUNCTION("""COMPUTED_VALUE"""),2)</f>
        <v>2</v>
      </c>
      <c r="I568" s="29">
        <f ca="1">IFERROR(__xludf.DUMMYFUNCTION("""COMPUTED_VALUE"""),4000)</f>
        <v>4000</v>
      </c>
      <c r="J568" s="29">
        <f ca="1">IFERROR(__xludf.DUMMYFUNCTION("""COMPUTED_VALUE"""),2)</f>
        <v>2</v>
      </c>
      <c r="K568" s="29">
        <f ca="1">IFERROR(__xludf.DUMMYFUNCTION("""COMPUTED_VALUE"""),0)</f>
        <v>0</v>
      </c>
      <c r="L568" s="29">
        <f ca="1">IFERROR(__xludf.DUMMYFUNCTION("""COMPUTED_VALUE"""),0)</f>
        <v>0</v>
      </c>
      <c r="M568" s="29">
        <f ca="1">IFERROR(__xludf.DUMMYFUNCTION("""COMPUTED_VALUE"""),0)</f>
        <v>0</v>
      </c>
      <c r="N568" s="29">
        <f ca="1">IFERROR(__xludf.DUMMYFUNCTION("""COMPUTED_VALUE"""),0)</f>
        <v>0</v>
      </c>
    </row>
    <row r="569" spans="2:14" ht="12.5">
      <c r="B569" s="2" t="str">
        <f ca="1">IFERROR(__xludf.DUMMYFUNCTION("""COMPUTED_VALUE"""),"青稜高")</f>
        <v>青稜高</v>
      </c>
      <c r="C569" s="2" t="str">
        <f ca="1">IFERROR(__xludf.DUMMYFUNCTION("""COMPUTED_VALUE"""),"#N/A")</f>
        <v>#N/A</v>
      </c>
      <c r="D569" s="31">
        <f ca="1">IFERROR(__xludf.DUMMYFUNCTION("""COMPUTED_VALUE"""),5000)</f>
        <v>5000</v>
      </c>
      <c r="E569" s="29">
        <f ca="1">IFERROR(__xludf.DUMMYFUNCTION("""COMPUTED_VALUE"""),0)</f>
        <v>0</v>
      </c>
      <c r="F569" s="30">
        <f ca="1">IFERROR(__xludf.DUMMYFUNCTION("""COMPUTED_VALUE"""),0)</f>
        <v>0</v>
      </c>
      <c r="G569" s="29">
        <f ca="1">IFERROR(__xludf.DUMMYFUNCTION("""COMPUTED_VALUE"""),5000)</f>
        <v>5000</v>
      </c>
      <c r="H569" s="30">
        <f ca="1">IFERROR(__xludf.DUMMYFUNCTION("""COMPUTED_VALUE"""),2)</f>
        <v>2</v>
      </c>
      <c r="I569" s="29">
        <f ca="1">IFERROR(__xludf.DUMMYFUNCTION("""COMPUTED_VALUE"""),4000)</f>
        <v>4000</v>
      </c>
      <c r="J569" s="29">
        <f ca="1">IFERROR(__xludf.DUMMYFUNCTION("""COMPUTED_VALUE"""),2)</f>
        <v>2</v>
      </c>
      <c r="K569" s="29">
        <f ca="1">IFERROR(__xludf.DUMMYFUNCTION("""COMPUTED_VALUE"""),0)</f>
        <v>0</v>
      </c>
      <c r="L569" s="29">
        <f ca="1">IFERROR(__xludf.DUMMYFUNCTION("""COMPUTED_VALUE"""),0)</f>
        <v>0</v>
      </c>
      <c r="M569" s="29">
        <f ca="1">IFERROR(__xludf.DUMMYFUNCTION("""COMPUTED_VALUE"""),0)</f>
        <v>0</v>
      </c>
      <c r="N569" s="29">
        <f ca="1">IFERROR(__xludf.DUMMYFUNCTION("""COMPUTED_VALUE"""),0)</f>
        <v>0</v>
      </c>
    </row>
    <row r="570" spans="2:14" ht="12.5">
      <c r="B570" s="2" t="str">
        <f ca="1">IFERROR(__xludf.DUMMYFUNCTION("""COMPUTED_VALUE"""),"鎌倉女学院高")</f>
        <v>鎌倉女学院高</v>
      </c>
      <c r="C570" s="2" t="str">
        <f ca="1">IFERROR(__xludf.DUMMYFUNCTION("""COMPUTED_VALUE"""),"#N/A")</f>
        <v>#N/A</v>
      </c>
      <c r="D570" s="31">
        <f ca="1">IFERROR(__xludf.DUMMYFUNCTION("""COMPUTED_VALUE"""),2500)</f>
        <v>2500</v>
      </c>
      <c r="E570" s="29">
        <f ca="1">IFERROR(__xludf.DUMMYFUNCTION("""COMPUTED_VALUE"""),0)</f>
        <v>0</v>
      </c>
      <c r="F570" s="30">
        <f ca="1">IFERROR(__xludf.DUMMYFUNCTION("""COMPUTED_VALUE"""),0)</f>
        <v>0</v>
      </c>
      <c r="G570" s="29">
        <f ca="1">IFERROR(__xludf.DUMMYFUNCTION("""COMPUTED_VALUE"""),2500)</f>
        <v>2500</v>
      </c>
      <c r="H570" s="30">
        <f ca="1">IFERROR(__xludf.DUMMYFUNCTION("""COMPUTED_VALUE"""),1)</f>
        <v>1</v>
      </c>
      <c r="I570" s="29">
        <f ca="1">IFERROR(__xludf.DUMMYFUNCTION("""COMPUTED_VALUE"""),2000)</f>
        <v>2000</v>
      </c>
      <c r="J570" s="29">
        <f ca="1">IFERROR(__xludf.DUMMYFUNCTION("""COMPUTED_VALUE"""),1)</f>
        <v>1</v>
      </c>
      <c r="K570" s="29">
        <f ca="1">IFERROR(__xludf.DUMMYFUNCTION("""COMPUTED_VALUE"""),0)</f>
        <v>0</v>
      </c>
      <c r="L570" s="29">
        <f ca="1">IFERROR(__xludf.DUMMYFUNCTION("""COMPUTED_VALUE"""),0)</f>
        <v>0</v>
      </c>
      <c r="M570" s="29">
        <f ca="1">IFERROR(__xludf.DUMMYFUNCTION("""COMPUTED_VALUE"""),0)</f>
        <v>0</v>
      </c>
      <c r="N570" s="29">
        <f ca="1">IFERROR(__xludf.DUMMYFUNCTION("""COMPUTED_VALUE"""),0)</f>
        <v>0</v>
      </c>
    </row>
    <row r="571" spans="2:14" ht="12.5">
      <c r="B571" s="2" t="str">
        <f ca="1">IFERROR(__xludf.DUMMYFUNCTION("""COMPUTED_VALUE"""),"藤沢西高")</f>
        <v>藤沢西高</v>
      </c>
      <c r="C571" s="2" t="str">
        <f ca="1">IFERROR(__xludf.DUMMYFUNCTION("""COMPUTED_VALUE"""),"#N/A")</f>
        <v>#N/A</v>
      </c>
      <c r="D571" s="31">
        <f ca="1">IFERROR(__xludf.DUMMYFUNCTION("""COMPUTED_VALUE"""),7500)</f>
        <v>7500</v>
      </c>
      <c r="E571" s="29">
        <f ca="1">IFERROR(__xludf.DUMMYFUNCTION("""COMPUTED_VALUE"""),0)</f>
        <v>0</v>
      </c>
      <c r="F571" s="30">
        <f ca="1">IFERROR(__xludf.DUMMYFUNCTION("""COMPUTED_VALUE"""),0)</f>
        <v>0</v>
      </c>
      <c r="G571" s="29">
        <f ca="1">IFERROR(__xludf.DUMMYFUNCTION("""COMPUTED_VALUE"""),7500)</f>
        <v>7500</v>
      </c>
      <c r="H571" s="30">
        <f ca="1">IFERROR(__xludf.DUMMYFUNCTION("""COMPUTED_VALUE"""),3)</f>
        <v>3</v>
      </c>
      <c r="I571" s="29">
        <f ca="1">IFERROR(__xludf.DUMMYFUNCTION("""COMPUTED_VALUE"""),8000)</f>
        <v>8000</v>
      </c>
      <c r="J571" s="29">
        <f ca="1">IFERROR(__xludf.DUMMYFUNCTION("""COMPUTED_VALUE"""),4)</f>
        <v>4</v>
      </c>
      <c r="K571" s="29">
        <f ca="1">IFERROR(__xludf.DUMMYFUNCTION("""COMPUTED_VALUE"""),6000)</f>
        <v>6000</v>
      </c>
      <c r="L571" s="29">
        <f ca="1">IFERROR(__xludf.DUMMYFUNCTION("""COMPUTED_VALUE"""),3)</f>
        <v>3</v>
      </c>
      <c r="M571" s="29">
        <f ca="1">IFERROR(__xludf.DUMMYFUNCTION("""COMPUTED_VALUE"""),0)</f>
        <v>0</v>
      </c>
      <c r="N571" s="29">
        <f ca="1">IFERROR(__xludf.DUMMYFUNCTION("""COMPUTED_VALUE"""),0)</f>
        <v>0</v>
      </c>
    </row>
    <row r="572" spans="2:14" ht="12.5">
      <c r="B572" s="2" t="str">
        <f ca="1">IFERROR(__xludf.DUMMYFUNCTION("""COMPUTED_VALUE"""),"甲府南高")</f>
        <v>甲府南高</v>
      </c>
      <c r="C572" s="2" t="str">
        <f ca="1">IFERROR(__xludf.DUMMYFUNCTION("""COMPUTED_VALUE"""),"#N/A")</f>
        <v>#N/A</v>
      </c>
      <c r="D572" s="31">
        <f ca="1">IFERROR(__xludf.DUMMYFUNCTION("""COMPUTED_VALUE"""),5000)</f>
        <v>5000</v>
      </c>
      <c r="E572" s="29">
        <f ca="1">IFERROR(__xludf.DUMMYFUNCTION("""COMPUTED_VALUE"""),0)</f>
        <v>0</v>
      </c>
      <c r="F572" s="30">
        <f ca="1">IFERROR(__xludf.DUMMYFUNCTION("""COMPUTED_VALUE"""),0)</f>
        <v>0</v>
      </c>
      <c r="G572" s="29">
        <f ca="1">IFERROR(__xludf.DUMMYFUNCTION("""COMPUTED_VALUE"""),5000)</f>
        <v>5000</v>
      </c>
      <c r="H572" s="30">
        <f ca="1">IFERROR(__xludf.DUMMYFUNCTION("""COMPUTED_VALUE"""),2)</f>
        <v>2</v>
      </c>
      <c r="I572" s="29">
        <f ca="1">IFERROR(__xludf.DUMMYFUNCTION("""COMPUTED_VALUE"""),4000)</f>
        <v>4000</v>
      </c>
      <c r="J572" s="29">
        <f ca="1">IFERROR(__xludf.DUMMYFUNCTION("""COMPUTED_VALUE"""),2)</f>
        <v>2</v>
      </c>
      <c r="K572" s="29">
        <f ca="1">IFERROR(__xludf.DUMMYFUNCTION("""COMPUTED_VALUE"""),6000)</f>
        <v>6000</v>
      </c>
      <c r="L572" s="29">
        <f ca="1">IFERROR(__xludf.DUMMYFUNCTION("""COMPUTED_VALUE"""),3)</f>
        <v>3</v>
      </c>
      <c r="M572" s="29">
        <f ca="1">IFERROR(__xludf.DUMMYFUNCTION("""COMPUTED_VALUE"""),0)</f>
        <v>0</v>
      </c>
      <c r="N572" s="29">
        <f ca="1">IFERROR(__xludf.DUMMYFUNCTION("""COMPUTED_VALUE"""),0)</f>
        <v>0</v>
      </c>
    </row>
    <row r="573" spans="2:14" ht="12.5">
      <c r="B573" s="2" t="str">
        <f ca="1">IFERROR(__xludf.DUMMYFUNCTION("""COMPUTED_VALUE"""),"武生高")</f>
        <v>武生高</v>
      </c>
      <c r="C573" s="2" t="str">
        <f ca="1">IFERROR(__xludf.DUMMYFUNCTION("""COMPUTED_VALUE"""),"#N/A")</f>
        <v>#N/A</v>
      </c>
      <c r="D573" s="31">
        <f ca="1">IFERROR(__xludf.DUMMYFUNCTION("""COMPUTED_VALUE"""),12500)</f>
        <v>12500</v>
      </c>
      <c r="E573" s="29">
        <f ca="1">IFERROR(__xludf.DUMMYFUNCTION("""COMPUTED_VALUE"""),0)</f>
        <v>0</v>
      </c>
      <c r="F573" s="30">
        <f ca="1">IFERROR(__xludf.DUMMYFUNCTION("""COMPUTED_VALUE"""),0)</f>
        <v>0</v>
      </c>
      <c r="G573" s="29">
        <f ca="1">IFERROR(__xludf.DUMMYFUNCTION("""COMPUTED_VALUE"""),12500)</f>
        <v>12500</v>
      </c>
      <c r="H573" s="30">
        <f ca="1">IFERROR(__xludf.DUMMYFUNCTION("""COMPUTED_VALUE"""),5)</f>
        <v>5</v>
      </c>
      <c r="I573" s="29">
        <f ca="1">IFERROR(__xludf.DUMMYFUNCTION("""COMPUTED_VALUE"""),0)</f>
        <v>0</v>
      </c>
      <c r="J573" s="29">
        <f ca="1">IFERROR(__xludf.DUMMYFUNCTION("""COMPUTED_VALUE"""),0)</f>
        <v>0</v>
      </c>
      <c r="K573" s="29">
        <f ca="1">IFERROR(__xludf.DUMMYFUNCTION("""COMPUTED_VALUE"""),8000)</f>
        <v>8000</v>
      </c>
      <c r="L573" s="29">
        <f ca="1">IFERROR(__xludf.DUMMYFUNCTION("""COMPUTED_VALUE"""),4)</f>
        <v>4</v>
      </c>
      <c r="M573" s="29">
        <f ca="1">IFERROR(__xludf.DUMMYFUNCTION("""COMPUTED_VALUE"""),0)</f>
        <v>0</v>
      </c>
      <c r="N573" s="29">
        <f ca="1">IFERROR(__xludf.DUMMYFUNCTION("""COMPUTED_VALUE"""),0)</f>
        <v>0</v>
      </c>
    </row>
    <row r="574" spans="2:14" ht="12.5">
      <c r="B574" s="2" t="str">
        <f ca="1">IFERROR(__xludf.DUMMYFUNCTION("""COMPUTED_VALUE"""),"諏訪清陵高")</f>
        <v>諏訪清陵高</v>
      </c>
      <c r="C574" s="2" t="str">
        <f ca="1">IFERROR(__xludf.DUMMYFUNCTION("""COMPUTED_VALUE"""),"#N/A")</f>
        <v>#N/A</v>
      </c>
      <c r="D574" s="31">
        <f ca="1">IFERROR(__xludf.DUMMYFUNCTION("""COMPUTED_VALUE"""),2500)</f>
        <v>2500</v>
      </c>
      <c r="E574" s="29">
        <f ca="1">IFERROR(__xludf.DUMMYFUNCTION("""COMPUTED_VALUE"""),0)</f>
        <v>0</v>
      </c>
      <c r="F574" s="30">
        <f ca="1">IFERROR(__xludf.DUMMYFUNCTION("""COMPUTED_VALUE"""),0)</f>
        <v>0</v>
      </c>
      <c r="G574" s="29">
        <f ca="1">IFERROR(__xludf.DUMMYFUNCTION("""COMPUTED_VALUE"""),2500)</f>
        <v>2500</v>
      </c>
      <c r="H574" s="30">
        <f ca="1">IFERROR(__xludf.DUMMYFUNCTION("""COMPUTED_VALUE"""),1)</f>
        <v>1</v>
      </c>
      <c r="I574" s="29">
        <f ca="1">IFERROR(__xludf.DUMMYFUNCTION("""COMPUTED_VALUE"""),2000)</f>
        <v>2000</v>
      </c>
      <c r="J574" s="29">
        <f ca="1">IFERROR(__xludf.DUMMYFUNCTION("""COMPUTED_VALUE"""),1)</f>
        <v>1</v>
      </c>
      <c r="K574" s="29">
        <f ca="1">IFERROR(__xludf.DUMMYFUNCTION("""COMPUTED_VALUE"""),0)</f>
        <v>0</v>
      </c>
      <c r="L574" s="29">
        <f ca="1">IFERROR(__xludf.DUMMYFUNCTION("""COMPUTED_VALUE"""),0)</f>
        <v>0</v>
      </c>
      <c r="M574" s="29">
        <f ca="1">IFERROR(__xludf.DUMMYFUNCTION("""COMPUTED_VALUE"""),0)</f>
        <v>0</v>
      </c>
      <c r="N574" s="29">
        <f ca="1">IFERROR(__xludf.DUMMYFUNCTION("""COMPUTED_VALUE"""),0)</f>
        <v>0</v>
      </c>
    </row>
    <row r="575" spans="2:14" ht="12.5">
      <c r="B575" s="2" t="str">
        <f ca="1">IFERROR(__xludf.DUMMYFUNCTION("""COMPUTED_VALUE"""),"大垣北高")</f>
        <v>大垣北高</v>
      </c>
      <c r="C575" s="2" t="str">
        <f ca="1">IFERROR(__xludf.DUMMYFUNCTION("""COMPUTED_VALUE"""),"#N/A")</f>
        <v>#N/A</v>
      </c>
      <c r="D575" s="31">
        <f ca="1">IFERROR(__xludf.DUMMYFUNCTION("""COMPUTED_VALUE"""),5000)</f>
        <v>5000</v>
      </c>
      <c r="E575" s="29">
        <f ca="1">IFERROR(__xludf.DUMMYFUNCTION("""COMPUTED_VALUE"""),0)</f>
        <v>0</v>
      </c>
      <c r="F575" s="30">
        <f ca="1">IFERROR(__xludf.DUMMYFUNCTION("""COMPUTED_VALUE"""),0)</f>
        <v>0</v>
      </c>
      <c r="G575" s="29">
        <f ca="1">IFERROR(__xludf.DUMMYFUNCTION("""COMPUTED_VALUE"""),5000)</f>
        <v>5000</v>
      </c>
      <c r="H575" s="30">
        <f ca="1">IFERROR(__xludf.DUMMYFUNCTION("""COMPUTED_VALUE"""),2)</f>
        <v>2</v>
      </c>
      <c r="I575" s="29">
        <f ca="1">IFERROR(__xludf.DUMMYFUNCTION("""COMPUTED_VALUE"""),6000)</f>
        <v>6000</v>
      </c>
      <c r="J575" s="29">
        <f ca="1">IFERROR(__xludf.DUMMYFUNCTION("""COMPUTED_VALUE"""),3)</f>
        <v>3</v>
      </c>
      <c r="K575" s="29">
        <f ca="1">IFERROR(__xludf.DUMMYFUNCTION("""COMPUTED_VALUE"""),16000)</f>
        <v>16000</v>
      </c>
      <c r="L575" s="29">
        <f ca="1">IFERROR(__xludf.DUMMYFUNCTION("""COMPUTED_VALUE"""),8)</f>
        <v>8</v>
      </c>
      <c r="M575" s="29">
        <f ca="1">IFERROR(__xludf.DUMMYFUNCTION("""COMPUTED_VALUE"""),0)</f>
        <v>0</v>
      </c>
      <c r="N575" s="29">
        <f ca="1">IFERROR(__xludf.DUMMYFUNCTION("""COMPUTED_VALUE"""),0)</f>
        <v>0</v>
      </c>
    </row>
    <row r="576" spans="2:14" ht="12.5">
      <c r="B576" s="2" t="str">
        <f ca="1">IFERROR(__xludf.DUMMYFUNCTION("""COMPUTED_VALUE"""),"沼津東高")</f>
        <v>沼津東高</v>
      </c>
      <c r="C576" s="2" t="str">
        <f ca="1">IFERROR(__xludf.DUMMYFUNCTION("""COMPUTED_VALUE"""),"#N/A")</f>
        <v>#N/A</v>
      </c>
      <c r="D576" s="31">
        <f ca="1">IFERROR(__xludf.DUMMYFUNCTION("""COMPUTED_VALUE"""),2500)</f>
        <v>2500</v>
      </c>
      <c r="E576" s="29">
        <f ca="1">IFERROR(__xludf.DUMMYFUNCTION("""COMPUTED_VALUE"""),0)</f>
        <v>0</v>
      </c>
      <c r="F576" s="30">
        <f ca="1">IFERROR(__xludf.DUMMYFUNCTION("""COMPUTED_VALUE"""),0)</f>
        <v>0</v>
      </c>
      <c r="G576" s="29">
        <f ca="1">IFERROR(__xludf.DUMMYFUNCTION("""COMPUTED_VALUE"""),2500)</f>
        <v>2500</v>
      </c>
      <c r="H576" s="30">
        <f ca="1">IFERROR(__xludf.DUMMYFUNCTION("""COMPUTED_VALUE"""),1)</f>
        <v>1</v>
      </c>
      <c r="I576" s="29">
        <f ca="1">IFERROR(__xludf.DUMMYFUNCTION("""COMPUTED_VALUE"""),4000)</f>
        <v>4000</v>
      </c>
      <c r="J576" s="29">
        <f ca="1">IFERROR(__xludf.DUMMYFUNCTION("""COMPUTED_VALUE"""),2)</f>
        <v>2</v>
      </c>
      <c r="K576" s="29">
        <f ca="1">IFERROR(__xludf.DUMMYFUNCTION("""COMPUTED_VALUE"""),2000)</f>
        <v>2000</v>
      </c>
      <c r="L576" s="29">
        <f ca="1">IFERROR(__xludf.DUMMYFUNCTION("""COMPUTED_VALUE"""),1)</f>
        <v>1</v>
      </c>
      <c r="M576" s="29">
        <f ca="1">IFERROR(__xludf.DUMMYFUNCTION("""COMPUTED_VALUE"""),0)</f>
        <v>0</v>
      </c>
      <c r="N576" s="29">
        <f ca="1">IFERROR(__xludf.DUMMYFUNCTION("""COMPUTED_VALUE"""),0)</f>
        <v>0</v>
      </c>
    </row>
    <row r="577" spans="2:14" ht="12.5">
      <c r="B577" s="2" t="str">
        <f ca="1">IFERROR(__xludf.DUMMYFUNCTION("""COMPUTED_VALUE"""),"浜松北高")</f>
        <v>浜松北高</v>
      </c>
      <c r="C577" s="2" t="str">
        <f ca="1">IFERROR(__xludf.DUMMYFUNCTION("""COMPUTED_VALUE"""),"#N/A")</f>
        <v>#N/A</v>
      </c>
      <c r="D577" s="31">
        <f ca="1">IFERROR(__xludf.DUMMYFUNCTION("""COMPUTED_VALUE"""),5000)</f>
        <v>5000</v>
      </c>
      <c r="E577" s="29">
        <f ca="1">IFERROR(__xludf.DUMMYFUNCTION("""COMPUTED_VALUE"""),0)</f>
        <v>0</v>
      </c>
      <c r="F577" s="30">
        <f ca="1">IFERROR(__xludf.DUMMYFUNCTION("""COMPUTED_VALUE"""),0)</f>
        <v>0</v>
      </c>
      <c r="G577" s="29">
        <f ca="1">IFERROR(__xludf.DUMMYFUNCTION("""COMPUTED_VALUE"""),5000)</f>
        <v>5000</v>
      </c>
      <c r="H577" s="30">
        <f ca="1">IFERROR(__xludf.DUMMYFUNCTION("""COMPUTED_VALUE"""),2)</f>
        <v>2</v>
      </c>
      <c r="I577" s="29">
        <f ca="1">IFERROR(__xludf.DUMMYFUNCTION("""COMPUTED_VALUE"""),6000)</f>
        <v>6000</v>
      </c>
      <c r="J577" s="29">
        <f ca="1">IFERROR(__xludf.DUMMYFUNCTION("""COMPUTED_VALUE"""),3)</f>
        <v>3</v>
      </c>
      <c r="K577" s="29">
        <f ca="1">IFERROR(__xludf.DUMMYFUNCTION("""COMPUTED_VALUE"""),6000)</f>
        <v>6000</v>
      </c>
      <c r="L577" s="29">
        <f ca="1">IFERROR(__xludf.DUMMYFUNCTION("""COMPUTED_VALUE"""),3)</f>
        <v>3</v>
      </c>
      <c r="M577" s="29">
        <f ca="1">IFERROR(__xludf.DUMMYFUNCTION("""COMPUTED_VALUE"""),0)</f>
        <v>0</v>
      </c>
      <c r="N577" s="29">
        <f ca="1">IFERROR(__xludf.DUMMYFUNCTION("""COMPUTED_VALUE"""),0)</f>
        <v>0</v>
      </c>
    </row>
    <row r="578" spans="2:14" ht="12.5">
      <c r="B578" s="2" t="str">
        <f ca="1">IFERROR(__xludf.DUMMYFUNCTION("""COMPUTED_VALUE"""),"名城大附属高")</f>
        <v>名城大附属高</v>
      </c>
      <c r="C578" s="2" t="str">
        <f ca="1">IFERROR(__xludf.DUMMYFUNCTION("""COMPUTED_VALUE"""),"#N/A")</f>
        <v>#N/A</v>
      </c>
      <c r="D578" s="31">
        <f ca="1">IFERROR(__xludf.DUMMYFUNCTION("""COMPUTED_VALUE"""),2500)</f>
        <v>2500</v>
      </c>
      <c r="E578" s="29">
        <f ca="1">IFERROR(__xludf.DUMMYFUNCTION("""COMPUTED_VALUE"""),0)</f>
        <v>0</v>
      </c>
      <c r="F578" s="30">
        <f ca="1">IFERROR(__xludf.DUMMYFUNCTION("""COMPUTED_VALUE"""),0)</f>
        <v>0</v>
      </c>
      <c r="G578" s="29">
        <f ca="1">IFERROR(__xludf.DUMMYFUNCTION("""COMPUTED_VALUE"""),2500)</f>
        <v>2500</v>
      </c>
      <c r="H578" s="30">
        <f ca="1">IFERROR(__xludf.DUMMYFUNCTION("""COMPUTED_VALUE"""),1)</f>
        <v>1</v>
      </c>
      <c r="I578" s="29">
        <f ca="1">IFERROR(__xludf.DUMMYFUNCTION("""COMPUTED_VALUE"""),0)</f>
        <v>0</v>
      </c>
      <c r="J578" s="29">
        <f ca="1">IFERROR(__xludf.DUMMYFUNCTION("""COMPUTED_VALUE"""),0)</f>
        <v>0</v>
      </c>
      <c r="K578" s="29">
        <f ca="1">IFERROR(__xludf.DUMMYFUNCTION("""COMPUTED_VALUE"""),0)</f>
        <v>0</v>
      </c>
      <c r="L578" s="29">
        <f ca="1">IFERROR(__xludf.DUMMYFUNCTION("""COMPUTED_VALUE"""),0)</f>
        <v>0</v>
      </c>
      <c r="M578" s="29">
        <f ca="1">IFERROR(__xludf.DUMMYFUNCTION("""COMPUTED_VALUE"""),0)</f>
        <v>0</v>
      </c>
      <c r="N578" s="29">
        <f ca="1">IFERROR(__xludf.DUMMYFUNCTION("""COMPUTED_VALUE"""),0)</f>
        <v>0</v>
      </c>
    </row>
    <row r="579" spans="2:14" ht="12.5">
      <c r="B579" s="2" t="str">
        <f ca="1">IFERROR(__xludf.DUMMYFUNCTION("""COMPUTED_VALUE"""),"京都女子高")</f>
        <v>京都女子高</v>
      </c>
      <c r="C579" s="2" t="str">
        <f ca="1">IFERROR(__xludf.DUMMYFUNCTION("""COMPUTED_VALUE"""),"#N/A")</f>
        <v>#N/A</v>
      </c>
      <c r="D579" s="31">
        <f ca="1">IFERROR(__xludf.DUMMYFUNCTION("""COMPUTED_VALUE"""),2500)</f>
        <v>2500</v>
      </c>
      <c r="E579" s="29">
        <f ca="1">IFERROR(__xludf.DUMMYFUNCTION("""COMPUTED_VALUE"""),0)</f>
        <v>0</v>
      </c>
      <c r="F579" s="30">
        <f ca="1">IFERROR(__xludf.DUMMYFUNCTION("""COMPUTED_VALUE"""),0)</f>
        <v>0</v>
      </c>
      <c r="G579" s="29">
        <f ca="1">IFERROR(__xludf.DUMMYFUNCTION("""COMPUTED_VALUE"""),2500)</f>
        <v>2500</v>
      </c>
      <c r="H579" s="30">
        <f ca="1">IFERROR(__xludf.DUMMYFUNCTION("""COMPUTED_VALUE"""),1)</f>
        <v>1</v>
      </c>
      <c r="I579" s="29">
        <f ca="1">IFERROR(__xludf.DUMMYFUNCTION("""COMPUTED_VALUE"""),0)</f>
        <v>0</v>
      </c>
      <c r="J579" s="29">
        <f ca="1">IFERROR(__xludf.DUMMYFUNCTION("""COMPUTED_VALUE"""),0)</f>
        <v>0</v>
      </c>
      <c r="K579" s="29">
        <f ca="1">IFERROR(__xludf.DUMMYFUNCTION("""COMPUTED_VALUE"""),6000)</f>
        <v>6000</v>
      </c>
      <c r="L579" s="29">
        <f ca="1">IFERROR(__xludf.DUMMYFUNCTION("""COMPUTED_VALUE"""),3)</f>
        <v>3</v>
      </c>
      <c r="M579" s="29">
        <f ca="1">IFERROR(__xludf.DUMMYFUNCTION("""COMPUTED_VALUE"""),0)</f>
        <v>0</v>
      </c>
      <c r="N579" s="29">
        <f ca="1">IFERROR(__xludf.DUMMYFUNCTION("""COMPUTED_VALUE"""),0)</f>
        <v>0</v>
      </c>
    </row>
    <row r="580" spans="2:14" ht="12.5">
      <c r="B580" s="2" t="str">
        <f ca="1">IFERROR(__xludf.DUMMYFUNCTION("""COMPUTED_VALUE"""),"北稜高")</f>
        <v>北稜高</v>
      </c>
      <c r="C580" s="2" t="str">
        <f ca="1">IFERROR(__xludf.DUMMYFUNCTION("""COMPUTED_VALUE"""),"#N/A")</f>
        <v>#N/A</v>
      </c>
      <c r="D580" s="31">
        <f ca="1">IFERROR(__xludf.DUMMYFUNCTION("""COMPUTED_VALUE"""),5000)</f>
        <v>5000</v>
      </c>
      <c r="E580" s="29">
        <f ca="1">IFERROR(__xludf.DUMMYFUNCTION("""COMPUTED_VALUE"""),0)</f>
        <v>0</v>
      </c>
      <c r="F580" s="30">
        <f ca="1">IFERROR(__xludf.DUMMYFUNCTION("""COMPUTED_VALUE"""),0)</f>
        <v>0</v>
      </c>
      <c r="G580" s="29">
        <f ca="1">IFERROR(__xludf.DUMMYFUNCTION("""COMPUTED_VALUE"""),5000)</f>
        <v>5000</v>
      </c>
      <c r="H580" s="30">
        <f ca="1">IFERROR(__xludf.DUMMYFUNCTION("""COMPUTED_VALUE"""),2)</f>
        <v>2</v>
      </c>
      <c r="I580" s="29">
        <f ca="1">IFERROR(__xludf.DUMMYFUNCTION("""COMPUTED_VALUE"""),6000)</f>
        <v>6000</v>
      </c>
      <c r="J580" s="29">
        <f ca="1">IFERROR(__xludf.DUMMYFUNCTION("""COMPUTED_VALUE"""),3)</f>
        <v>3</v>
      </c>
      <c r="K580" s="29">
        <f ca="1">IFERROR(__xludf.DUMMYFUNCTION("""COMPUTED_VALUE"""),4000)</f>
        <v>4000</v>
      </c>
      <c r="L580" s="29">
        <f ca="1">IFERROR(__xludf.DUMMYFUNCTION("""COMPUTED_VALUE"""),2)</f>
        <v>2</v>
      </c>
      <c r="M580" s="29">
        <f ca="1">IFERROR(__xludf.DUMMYFUNCTION("""COMPUTED_VALUE"""),0)</f>
        <v>0</v>
      </c>
      <c r="N580" s="29">
        <f ca="1">IFERROR(__xludf.DUMMYFUNCTION("""COMPUTED_VALUE"""),0)</f>
        <v>0</v>
      </c>
    </row>
    <row r="581" spans="2:14" ht="12.5">
      <c r="B581" s="2" t="str">
        <f ca="1">IFERROR(__xludf.DUMMYFUNCTION("""COMPUTED_VALUE"""),"市岡高")</f>
        <v>市岡高</v>
      </c>
      <c r="C581" s="2" t="str">
        <f ca="1">IFERROR(__xludf.DUMMYFUNCTION("""COMPUTED_VALUE"""),"#N/A")</f>
        <v>#N/A</v>
      </c>
      <c r="D581" s="31">
        <f ca="1">IFERROR(__xludf.DUMMYFUNCTION("""COMPUTED_VALUE"""),5000)</f>
        <v>5000</v>
      </c>
      <c r="E581" s="29">
        <f ca="1">IFERROR(__xludf.DUMMYFUNCTION("""COMPUTED_VALUE"""),0)</f>
        <v>0</v>
      </c>
      <c r="F581" s="30">
        <f ca="1">IFERROR(__xludf.DUMMYFUNCTION("""COMPUTED_VALUE"""),0)</f>
        <v>0</v>
      </c>
      <c r="G581" s="29">
        <f ca="1">IFERROR(__xludf.DUMMYFUNCTION("""COMPUTED_VALUE"""),5000)</f>
        <v>5000</v>
      </c>
      <c r="H581" s="30">
        <f ca="1">IFERROR(__xludf.DUMMYFUNCTION("""COMPUTED_VALUE"""),2)</f>
        <v>2</v>
      </c>
      <c r="I581" s="29">
        <f ca="1">IFERROR(__xludf.DUMMYFUNCTION("""COMPUTED_VALUE"""),6000)</f>
        <v>6000</v>
      </c>
      <c r="J581" s="29">
        <f ca="1">IFERROR(__xludf.DUMMYFUNCTION("""COMPUTED_VALUE"""),3)</f>
        <v>3</v>
      </c>
      <c r="K581" s="29">
        <f ca="1">IFERROR(__xludf.DUMMYFUNCTION("""COMPUTED_VALUE"""),2000)</f>
        <v>2000</v>
      </c>
      <c r="L581" s="29">
        <f ca="1">IFERROR(__xludf.DUMMYFUNCTION("""COMPUTED_VALUE"""),1)</f>
        <v>1</v>
      </c>
      <c r="M581" s="29">
        <f ca="1">IFERROR(__xludf.DUMMYFUNCTION("""COMPUTED_VALUE"""),0)</f>
        <v>0</v>
      </c>
      <c r="N581" s="29">
        <f ca="1">IFERROR(__xludf.DUMMYFUNCTION("""COMPUTED_VALUE"""),0)</f>
        <v>0</v>
      </c>
    </row>
    <row r="582" spans="2:14" ht="12.5">
      <c r="B582" s="2" t="str">
        <f ca="1">IFERROR(__xludf.DUMMYFUNCTION("""COMPUTED_VALUE"""),"天王寺高")</f>
        <v>天王寺高</v>
      </c>
      <c r="C582" s="2" t="str">
        <f ca="1">IFERROR(__xludf.DUMMYFUNCTION("""COMPUTED_VALUE"""),"#N/A")</f>
        <v>#N/A</v>
      </c>
      <c r="D582" s="2">
        <f ca="1">IFERROR(__xludf.DUMMYFUNCTION("""COMPUTED_VALUE"""),17500)</f>
        <v>17500</v>
      </c>
      <c r="E582" s="29">
        <f ca="1">IFERROR(__xludf.DUMMYFUNCTION("""COMPUTED_VALUE"""),0)</f>
        <v>0</v>
      </c>
      <c r="F582" s="30">
        <f ca="1">IFERROR(__xludf.DUMMYFUNCTION("""COMPUTED_VALUE"""),0)</f>
        <v>0</v>
      </c>
      <c r="G582" s="29">
        <f ca="1">IFERROR(__xludf.DUMMYFUNCTION("""COMPUTED_VALUE"""),17500)</f>
        <v>17500</v>
      </c>
      <c r="H582" s="30">
        <f ca="1">IFERROR(__xludf.DUMMYFUNCTION("""COMPUTED_VALUE"""),7)</f>
        <v>7</v>
      </c>
      <c r="I582" s="29">
        <f ca="1">IFERROR(__xludf.DUMMYFUNCTION("""COMPUTED_VALUE"""),12000)</f>
        <v>12000</v>
      </c>
      <c r="J582" s="29">
        <f ca="1">IFERROR(__xludf.DUMMYFUNCTION("""COMPUTED_VALUE"""),6)</f>
        <v>6</v>
      </c>
      <c r="K582" s="29">
        <f ca="1">IFERROR(__xludf.DUMMYFUNCTION("""COMPUTED_VALUE"""),6000)</f>
        <v>6000</v>
      </c>
      <c r="L582" s="29">
        <f ca="1">IFERROR(__xludf.DUMMYFUNCTION("""COMPUTED_VALUE"""),3)</f>
        <v>3</v>
      </c>
      <c r="M582" s="29">
        <f ca="1">IFERROR(__xludf.DUMMYFUNCTION("""COMPUTED_VALUE"""),0)</f>
        <v>0</v>
      </c>
      <c r="N582" s="29">
        <f ca="1">IFERROR(__xludf.DUMMYFUNCTION("""COMPUTED_VALUE"""),0)</f>
        <v>0</v>
      </c>
    </row>
    <row r="583" spans="2:14" ht="12.5">
      <c r="B583" s="2" t="str">
        <f ca="1">IFERROR(__xludf.DUMMYFUNCTION("""COMPUTED_VALUE"""),"桃山学院高")</f>
        <v>桃山学院高</v>
      </c>
      <c r="C583" s="2" t="str">
        <f ca="1">IFERROR(__xludf.DUMMYFUNCTION("""COMPUTED_VALUE"""),"#N/A")</f>
        <v>#N/A</v>
      </c>
      <c r="D583" s="2">
        <f ca="1">IFERROR(__xludf.DUMMYFUNCTION("""COMPUTED_VALUE"""),15000)</f>
        <v>15000</v>
      </c>
      <c r="E583" s="29">
        <f ca="1">IFERROR(__xludf.DUMMYFUNCTION("""COMPUTED_VALUE"""),0)</f>
        <v>0</v>
      </c>
      <c r="F583" s="30">
        <f ca="1">IFERROR(__xludf.DUMMYFUNCTION("""COMPUTED_VALUE"""),0)</f>
        <v>0</v>
      </c>
      <c r="G583" s="29">
        <f ca="1">IFERROR(__xludf.DUMMYFUNCTION("""COMPUTED_VALUE"""),15000)</f>
        <v>15000</v>
      </c>
      <c r="H583" s="30">
        <f ca="1">IFERROR(__xludf.DUMMYFUNCTION("""COMPUTED_VALUE"""),6)</f>
        <v>6</v>
      </c>
      <c r="I583" s="29">
        <f ca="1">IFERROR(__xludf.DUMMYFUNCTION("""COMPUTED_VALUE"""),14000)</f>
        <v>14000</v>
      </c>
      <c r="J583" s="29">
        <f ca="1">IFERROR(__xludf.DUMMYFUNCTION("""COMPUTED_VALUE"""),7)</f>
        <v>7</v>
      </c>
      <c r="K583" s="29">
        <f ca="1">IFERROR(__xludf.DUMMYFUNCTION("""COMPUTED_VALUE"""),8000)</f>
        <v>8000</v>
      </c>
      <c r="L583" s="29">
        <f ca="1">IFERROR(__xludf.DUMMYFUNCTION("""COMPUTED_VALUE"""),4)</f>
        <v>4</v>
      </c>
      <c r="M583" s="29">
        <f ca="1">IFERROR(__xludf.DUMMYFUNCTION("""COMPUTED_VALUE"""),0)</f>
        <v>0</v>
      </c>
      <c r="N583" s="29">
        <f ca="1">IFERROR(__xludf.DUMMYFUNCTION("""COMPUTED_VALUE"""),0)</f>
        <v>0</v>
      </c>
    </row>
    <row r="584" spans="2:14" ht="12.5">
      <c r="B584" s="2" t="str">
        <f ca="1">IFERROR(__xludf.DUMMYFUNCTION("""COMPUTED_VALUE"""),"賢明女子学院高")</f>
        <v>賢明女子学院高</v>
      </c>
      <c r="C584" s="2" t="str">
        <f ca="1">IFERROR(__xludf.DUMMYFUNCTION("""COMPUTED_VALUE"""),"#N/A")</f>
        <v>#N/A</v>
      </c>
      <c r="D584" s="2">
        <f ca="1">IFERROR(__xludf.DUMMYFUNCTION("""COMPUTED_VALUE"""),2500)</f>
        <v>2500</v>
      </c>
      <c r="E584" s="29">
        <f ca="1">IFERROR(__xludf.DUMMYFUNCTION("""COMPUTED_VALUE"""),0)</f>
        <v>0</v>
      </c>
      <c r="F584" s="30">
        <f ca="1">IFERROR(__xludf.DUMMYFUNCTION("""COMPUTED_VALUE"""),0)</f>
        <v>0</v>
      </c>
      <c r="G584" s="29">
        <f ca="1">IFERROR(__xludf.DUMMYFUNCTION("""COMPUTED_VALUE"""),2500)</f>
        <v>2500</v>
      </c>
      <c r="H584" s="30">
        <f ca="1">IFERROR(__xludf.DUMMYFUNCTION("""COMPUTED_VALUE"""),1)</f>
        <v>1</v>
      </c>
      <c r="I584" s="29">
        <f ca="1">IFERROR(__xludf.DUMMYFUNCTION("""COMPUTED_VALUE"""),6000)</f>
        <v>6000</v>
      </c>
      <c r="J584" s="29">
        <f ca="1">IFERROR(__xludf.DUMMYFUNCTION("""COMPUTED_VALUE"""),3)</f>
        <v>3</v>
      </c>
      <c r="K584" s="29">
        <f ca="1">IFERROR(__xludf.DUMMYFUNCTION("""COMPUTED_VALUE"""),2000)</f>
        <v>2000</v>
      </c>
      <c r="L584" s="29">
        <f ca="1">IFERROR(__xludf.DUMMYFUNCTION("""COMPUTED_VALUE"""),1)</f>
        <v>1</v>
      </c>
      <c r="M584" s="29">
        <f ca="1">IFERROR(__xludf.DUMMYFUNCTION("""COMPUTED_VALUE"""),0)</f>
        <v>0</v>
      </c>
      <c r="N584" s="29">
        <f ca="1">IFERROR(__xludf.DUMMYFUNCTION("""COMPUTED_VALUE"""),0)</f>
        <v>0</v>
      </c>
    </row>
    <row r="585" spans="2:14" ht="12.5">
      <c r="B585" s="2" t="str">
        <f ca="1">IFERROR(__xludf.DUMMYFUNCTION("""COMPUTED_VALUE"""),"県西宮高")</f>
        <v>県西宮高</v>
      </c>
      <c r="C585" s="2" t="str">
        <f ca="1">IFERROR(__xludf.DUMMYFUNCTION("""COMPUTED_VALUE"""),"#N/A")</f>
        <v>#N/A</v>
      </c>
      <c r="D585" s="2">
        <f ca="1">IFERROR(__xludf.DUMMYFUNCTION("""COMPUTED_VALUE"""),5000)</f>
        <v>5000</v>
      </c>
      <c r="E585" s="29">
        <f ca="1">IFERROR(__xludf.DUMMYFUNCTION("""COMPUTED_VALUE"""),0)</f>
        <v>0</v>
      </c>
      <c r="F585" s="30">
        <f ca="1">IFERROR(__xludf.DUMMYFUNCTION("""COMPUTED_VALUE"""),0)</f>
        <v>0</v>
      </c>
      <c r="G585" s="29">
        <f ca="1">IFERROR(__xludf.DUMMYFUNCTION("""COMPUTED_VALUE"""),5000)</f>
        <v>5000</v>
      </c>
      <c r="H585" s="30">
        <f ca="1">IFERROR(__xludf.DUMMYFUNCTION("""COMPUTED_VALUE"""),2)</f>
        <v>2</v>
      </c>
      <c r="I585" s="29">
        <f ca="1">IFERROR(__xludf.DUMMYFUNCTION("""COMPUTED_VALUE"""),4000)</f>
        <v>4000</v>
      </c>
      <c r="J585" s="29">
        <f ca="1">IFERROR(__xludf.DUMMYFUNCTION("""COMPUTED_VALUE"""),2)</f>
        <v>2</v>
      </c>
      <c r="K585" s="29">
        <f ca="1">IFERROR(__xludf.DUMMYFUNCTION("""COMPUTED_VALUE"""),14000)</f>
        <v>14000</v>
      </c>
      <c r="L585" s="29">
        <f ca="1">IFERROR(__xludf.DUMMYFUNCTION("""COMPUTED_VALUE"""),7)</f>
        <v>7</v>
      </c>
      <c r="M585" s="29">
        <f ca="1">IFERROR(__xludf.DUMMYFUNCTION("""COMPUTED_VALUE"""),0)</f>
        <v>0</v>
      </c>
      <c r="N585" s="29">
        <f ca="1">IFERROR(__xludf.DUMMYFUNCTION("""COMPUTED_VALUE"""),0)</f>
        <v>0</v>
      </c>
    </row>
    <row r="586" spans="2:14" ht="12.5">
      <c r="B586" s="2" t="str">
        <f ca="1">IFERROR(__xludf.DUMMYFUNCTION("""COMPUTED_VALUE"""),"網干高")</f>
        <v>網干高</v>
      </c>
      <c r="C586" s="2" t="str">
        <f ca="1">IFERROR(__xludf.DUMMYFUNCTION("""COMPUTED_VALUE"""),"#N/A")</f>
        <v>#N/A</v>
      </c>
      <c r="D586" s="2">
        <f ca="1">IFERROR(__xludf.DUMMYFUNCTION("""COMPUTED_VALUE"""),2500)</f>
        <v>2500</v>
      </c>
      <c r="E586" s="29">
        <f ca="1">IFERROR(__xludf.DUMMYFUNCTION("""COMPUTED_VALUE"""),0)</f>
        <v>0</v>
      </c>
      <c r="F586" s="30">
        <f ca="1">IFERROR(__xludf.DUMMYFUNCTION("""COMPUTED_VALUE"""),0)</f>
        <v>0</v>
      </c>
      <c r="G586" s="29">
        <f ca="1">IFERROR(__xludf.DUMMYFUNCTION("""COMPUTED_VALUE"""),2500)</f>
        <v>2500</v>
      </c>
      <c r="H586" s="30">
        <f ca="1">IFERROR(__xludf.DUMMYFUNCTION("""COMPUTED_VALUE"""),1)</f>
        <v>1</v>
      </c>
      <c r="I586" s="29">
        <f ca="1">IFERROR(__xludf.DUMMYFUNCTION("""COMPUTED_VALUE"""),0)</f>
        <v>0</v>
      </c>
      <c r="J586" s="29">
        <f ca="1">IFERROR(__xludf.DUMMYFUNCTION("""COMPUTED_VALUE"""),0)</f>
        <v>0</v>
      </c>
      <c r="K586" s="29">
        <f ca="1">IFERROR(__xludf.DUMMYFUNCTION("""COMPUTED_VALUE"""),0)</f>
        <v>0</v>
      </c>
      <c r="L586" s="29">
        <f ca="1">IFERROR(__xludf.DUMMYFUNCTION("""COMPUTED_VALUE"""),0)</f>
        <v>0</v>
      </c>
      <c r="M586" s="29">
        <f ca="1">IFERROR(__xludf.DUMMYFUNCTION("""COMPUTED_VALUE"""),0)</f>
        <v>0</v>
      </c>
      <c r="N586" s="29">
        <f ca="1">IFERROR(__xludf.DUMMYFUNCTION("""COMPUTED_VALUE"""),0)</f>
        <v>0</v>
      </c>
    </row>
    <row r="587" spans="2:14" ht="12.5">
      <c r="B587" s="2" t="str">
        <f ca="1">IFERROR(__xludf.DUMMYFUNCTION("""COMPUTED_VALUE"""),"畝傍高")</f>
        <v>畝傍高</v>
      </c>
      <c r="C587" s="2" t="str">
        <f ca="1">IFERROR(__xludf.DUMMYFUNCTION("""COMPUTED_VALUE"""),"#N/A")</f>
        <v>#N/A</v>
      </c>
      <c r="D587" s="2">
        <f ca="1">IFERROR(__xludf.DUMMYFUNCTION("""COMPUTED_VALUE"""),10000)</f>
        <v>10000</v>
      </c>
      <c r="E587" s="29">
        <f ca="1">IFERROR(__xludf.DUMMYFUNCTION("""COMPUTED_VALUE"""),0)</f>
        <v>0</v>
      </c>
      <c r="F587" s="30">
        <f ca="1">IFERROR(__xludf.DUMMYFUNCTION("""COMPUTED_VALUE"""),0)</f>
        <v>0</v>
      </c>
      <c r="G587" s="29">
        <f ca="1">IFERROR(__xludf.DUMMYFUNCTION("""COMPUTED_VALUE"""),10000)</f>
        <v>10000</v>
      </c>
      <c r="H587" s="30">
        <f ca="1">IFERROR(__xludf.DUMMYFUNCTION("""COMPUTED_VALUE"""),4)</f>
        <v>4</v>
      </c>
      <c r="I587" s="29">
        <f ca="1">IFERROR(__xludf.DUMMYFUNCTION("""COMPUTED_VALUE"""),16000)</f>
        <v>16000</v>
      </c>
      <c r="J587" s="29">
        <f ca="1">IFERROR(__xludf.DUMMYFUNCTION("""COMPUTED_VALUE"""),8)</f>
        <v>8</v>
      </c>
      <c r="K587" s="29">
        <f ca="1">IFERROR(__xludf.DUMMYFUNCTION("""COMPUTED_VALUE"""),4000)</f>
        <v>4000</v>
      </c>
      <c r="L587" s="29">
        <f ca="1">IFERROR(__xludf.DUMMYFUNCTION("""COMPUTED_VALUE"""),2)</f>
        <v>2</v>
      </c>
      <c r="M587" s="29">
        <f ca="1">IFERROR(__xludf.DUMMYFUNCTION("""COMPUTED_VALUE"""),0)</f>
        <v>0</v>
      </c>
      <c r="N587" s="29">
        <f ca="1">IFERROR(__xludf.DUMMYFUNCTION("""COMPUTED_VALUE"""),0)</f>
        <v>0</v>
      </c>
    </row>
    <row r="588" spans="2:14" ht="12.5">
      <c r="B588" s="2" t="str">
        <f ca="1">IFERROR(__xludf.DUMMYFUNCTION("""COMPUTED_VALUE"""),"青翔開智高")</f>
        <v>青翔開智高</v>
      </c>
      <c r="C588" s="2" t="str">
        <f ca="1">IFERROR(__xludf.DUMMYFUNCTION("""COMPUTED_VALUE"""),"#N/A")</f>
        <v>#N/A</v>
      </c>
      <c r="D588" s="2">
        <f ca="1">IFERROR(__xludf.DUMMYFUNCTION("""COMPUTED_VALUE"""),2500)</f>
        <v>2500</v>
      </c>
      <c r="E588" s="29">
        <f ca="1">IFERROR(__xludf.DUMMYFUNCTION("""COMPUTED_VALUE"""),0)</f>
        <v>0</v>
      </c>
      <c r="F588" s="30">
        <f ca="1">IFERROR(__xludf.DUMMYFUNCTION("""COMPUTED_VALUE"""),0)</f>
        <v>0</v>
      </c>
      <c r="G588" s="29">
        <f ca="1">IFERROR(__xludf.DUMMYFUNCTION("""COMPUTED_VALUE"""),2500)</f>
        <v>2500</v>
      </c>
      <c r="H588" s="30">
        <f ca="1">IFERROR(__xludf.DUMMYFUNCTION("""COMPUTED_VALUE"""),1)</f>
        <v>1</v>
      </c>
      <c r="I588" s="29">
        <f ca="1">IFERROR(__xludf.DUMMYFUNCTION("""COMPUTED_VALUE"""),2000)</f>
        <v>2000</v>
      </c>
      <c r="J588" s="29">
        <f ca="1">IFERROR(__xludf.DUMMYFUNCTION("""COMPUTED_VALUE"""),1)</f>
        <v>1</v>
      </c>
      <c r="K588" s="29">
        <f ca="1">IFERROR(__xludf.DUMMYFUNCTION("""COMPUTED_VALUE"""),0)</f>
        <v>0</v>
      </c>
      <c r="L588" s="29">
        <f ca="1">IFERROR(__xludf.DUMMYFUNCTION("""COMPUTED_VALUE"""),0)</f>
        <v>0</v>
      </c>
      <c r="M588" s="29">
        <f ca="1">IFERROR(__xludf.DUMMYFUNCTION("""COMPUTED_VALUE"""),0)</f>
        <v>0</v>
      </c>
      <c r="N588" s="29">
        <f ca="1">IFERROR(__xludf.DUMMYFUNCTION("""COMPUTED_VALUE"""),0)</f>
        <v>0</v>
      </c>
    </row>
    <row r="589" spans="2:14" ht="12.5">
      <c r="B589" s="2" t="str">
        <f ca="1">IFERROR(__xludf.DUMMYFUNCTION("""COMPUTED_VALUE"""),"倉敷青陵高")</f>
        <v>倉敷青陵高</v>
      </c>
      <c r="C589" s="2" t="str">
        <f ca="1">IFERROR(__xludf.DUMMYFUNCTION("""COMPUTED_VALUE"""),"#N/A")</f>
        <v>#N/A</v>
      </c>
      <c r="D589" s="2">
        <f ca="1">IFERROR(__xludf.DUMMYFUNCTION("""COMPUTED_VALUE"""),7500)</f>
        <v>7500</v>
      </c>
      <c r="E589" s="29">
        <f ca="1">IFERROR(__xludf.DUMMYFUNCTION("""COMPUTED_VALUE"""),0)</f>
        <v>0</v>
      </c>
      <c r="F589" s="30">
        <f ca="1">IFERROR(__xludf.DUMMYFUNCTION("""COMPUTED_VALUE"""),0)</f>
        <v>0</v>
      </c>
      <c r="G589" s="29">
        <f ca="1">IFERROR(__xludf.DUMMYFUNCTION("""COMPUTED_VALUE"""),7500)</f>
        <v>7500</v>
      </c>
      <c r="H589" s="30">
        <f ca="1">IFERROR(__xludf.DUMMYFUNCTION("""COMPUTED_VALUE"""),3)</f>
        <v>3</v>
      </c>
      <c r="I589" s="29">
        <f ca="1">IFERROR(__xludf.DUMMYFUNCTION("""COMPUTED_VALUE"""),16000)</f>
        <v>16000</v>
      </c>
      <c r="J589" s="29">
        <f ca="1">IFERROR(__xludf.DUMMYFUNCTION("""COMPUTED_VALUE"""),8)</f>
        <v>8</v>
      </c>
      <c r="K589" s="29">
        <f ca="1">IFERROR(__xludf.DUMMYFUNCTION("""COMPUTED_VALUE"""),16000)</f>
        <v>16000</v>
      </c>
      <c r="L589" s="29">
        <f ca="1">IFERROR(__xludf.DUMMYFUNCTION("""COMPUTED_VALUE"""),8)</f>
        <v>8</v>
      </c>
      <c r="M589" s="29">
        <f ca="1">IFERROR(__xludf.DUMMYFUNCTION("""COMPUTED_VALUE"""),0)</f>
        <v>0</v>
      </c>
      <c r="N589" s="29">
        <f ca="1">IFERROR(__xludf.DUMMYFUNCTION("""COMPUTED_VALUE"""),0)</f>
        <v>0</v>
      </c>
    </row>
    <row r="590" spans="2:14" ht="12.5">
      <c r="B590" s="2" t="str">
        <f ca="1">IFERROR(__xludf.DUMMYFUNCTION("""COMPUTED_VALUE"""),"慶進高")</f>
        <v>慶進高</v>
      </c>
      <c r="C590" s="2" t="str">
        <f ca="1">IFERROR(__xludf.DUMMYFUNCTION("""COMPUTED_VALUE"""),"#N/A")</f>
        <v>#N/A</v>
      </c>
      <c r="D590" s="2">
        <f ca="1">IFERROR(__xludf.DUMMYFUNCTION("""COMPUTED_VALUE"""),2500)</f>
        <v>2500</v>
      </c>
      <c r="E590" s="29">
        <f ca="1">IFERROR(__xludf.DUMMYFUNCTION("""COMPUTED_VALUE"""),0)</f>
        <v>0</v>
      </c>
      <c r="F590" s="30">
        <f ca="1">IFERROR(__xludf.DUMMYFUNCTION("""COMPUTED_VALUE"""),0)</f>
        <v>0</v>
      </c>
      <c r="G590" s="29">
        <f ca="1">IFERROR(__xludf.DUMMYFUNCTION("""COMPUTED_VALUE"""),2500)</f>
        <v>2500</v>
      </c>
      <c r="H590" s="30">
        <f ca="1">IFERROR(__xludf.DUMMYFUNCTION("""COMPUTED_VALUE"""),1)</f>
        <v>1</v>
      </c>
      <c r="I590" s="29">
        <f ca="1">IFERROR(__xludf.DUMMYFUNCTION("""COMPUTED_VALUE"""),6000)</f>
        <v>6000</v>
      </c>
      <c r="J590" s="29">
        <f ca="1">IFERROR(__xludf.DUMMYFUNCTION("""COMPUTED_VALUE"""),3)</f>
        <v>3</v>
      </c>
      <c r="K590" s="29">
        <f ca="1">IFERROR(__xludf.DUMMYFUNCTION("""COMPUTED_VALUE"""),10000)</f>
        <v>10000</v>
      </c>
      <c r="L590" s="29">
        <f ca="1">IFERROR(__xludf.DUMMYFUNCTION("""COMPUTED_VALUE"""),5)</f>
        <v>5</v>
      </c>
      <c r="M590" s="29">
        <f ca="1">IFERROR(__xludf.DUMMYFUNCTION("""COMPUTED_VALUE"""),0)</f>
        <v>0</v>
      </c>
      <c r="N590" s="29">
        <f ca="1">IFERROR(__xludf.DUMMYFUNCTION("""COMPUTED_VALUE"""),0)</f>
        <v>0</v>
      </c>
    </row>
    <row r="591" spans="2:14" ht="12.5">
      <c r="B591" s="2" t="str">
        <f ca="1">IFERROR(__xludf.DUMMYFUNCTION("""COMPUTED_VALUE"""),"城北高")</f>
        <v>城北高</v>
      </c>
      <c r="C591" s="2" t="str">
        <f ca="1">IFERROR(__xludf.DUMMYFUNCTION("""COMPUTED_VALUE"""),"#N/A")</f>
        <v>#N/A</v>
      </c>
      <c r="D591" s="2">
        <f ca="1">IFERROR(__xludf.DUMMYFUNCTION("""COMPUTED_VALUE"""),5000)</f>
        <v>5000</v>
      </c>
      <c r="E591" s="29">
        <f ca="1">IFERROR(__xludf.DUMMYFUNCTION("""COMPUTED_VALUE"""),0)</f>
        <v>0</v>
      </c>
      <c r="F591" s="30">
        <f ca="1">IFERROR(__xludf.DUMMYFUNCTION("""COMPUTED_VALUE"""),0)</f>
        <v>0</v>
      </c>
      <c r="G591" s="29">
        <f ca="1">IFERROR(__xludf.DUMMYFUNCTION("""COMPUTED_VALUE"""),5000)</f>
        <v>5000</v>
      </c>
      <c r="H591" s="30">
        <f ca="1">IFERROR(__xludf.DUMMYFUNCTION("""COMPUTED_VALUE"""),2)</f>
        <v>2</v>
      </c>
      <c r="I591" s="29">
        <f ca="1">IFERROR(__xludf.DUMMYFUNCTION("""COMPUTED_VALUE"""),12000)</f>
        <v>12000</v>
      </c>
      <c r="J591" s="29">
        <f ca="1">IFERROR(__xludf.DUMMYFUNCTION("""COMPUTED_VALUE"""),6)</f>
        <v>6</v>
      </c>
      <c r="K591" s="29">
        <f ca="1">IFERROR(__xludf.DUMMYFUNCTION("""COMPUTED_VALUE"""),6000)</f>
        <v>6000</v>
      </c>
      <c r="L591" s="29">
        <f ca="1">IFERROR(__xludf.DUMMYFUNCTION("""COMPUTED_VALUE"""),3)</f>
        <v>3</v>
      </c>
      <c r="M591" s="29">
        <f ca="1">IFERROR(__xludf.DUMMYFUNCTION("""COMPUTED_VALUE"""),0)</f>
        <v>0</v>
      </c>
      <c r="N591" s="29">
        <f ca="1">IFERROR(__xludf.DUMMYFUNCTION("""COMPUTED_VALUE"""),0)</f>
        <v>0</v>
      </c>
    </row>
    <row r="592" spans="2:14" ht="12.5">
      <c r="B592" s="2" t="str">
        <f ca="1">IFERROR(__xludf.DUMMYFUNCTION("""COMPUTED_VALUE"""),"筑紫丘高")</f>
        <v>筑紫丘高</v>
      </c>
      <c r="C592" s="2" t="str">
        <f ca="1">IFERROR(__xludf.DUMMYFUNCTION("""COMPUTED_VALUE"""),"#N/A")</f>
        <v>#N/A</v>
      </c>
      <c r="D592" s="2">
        <f ca="1">IFERROR(__xludf.DUMMYFUNCTION("""COMPUTED_VALUE"""),7500)</f>
        <v>7500</v>
      </c>
      <c r="E592" s="29">
        <f ca="1">IFERROR(__xludf.DUMMYFUNCTION("""COMPUTED_VALUE"""),0)</f>
        <v>0</v>
      </c>
      <c r="F592" s="30">
        <f ca="1">IFERROR(__xludf.DUMMYFUNCTION("""COMPUTED_VALUE"""),0)</f>
        <v>0</v>
      </c>
      <c r="G592" s="29">
        <f ca="1">IFERROR(__xludf.DUMMYFUNCTION("""COMPUTED_VALUE"""),7500)</f>
        <v>7500</v>
      </c>
      <c r="H592" s="30">
        <f ca="1">IFERROR(__xludf.DUMMYFUNCTION("""COMPUTED_VALUE"""),3)</f>
        <v>3</v>
      </c>
      <c r="I592" s="29">
        <f ca="1">IFERROR(__xludf.DUMMYFUNCTION("""COMPUTED_VALUE"""),4000)</f>
        <v>4000</v>
      </c>
      <c r="J592" s="29">
        <f ca="1">IFERROR(__xludf.DUMMYFUNCTION("""COMPUTED_VALUE"""),2)</f>
        <v>2</v>
      </c>
      <c r="K592" s="29">
        <f ca="1">IFERROR(__xludf.DUMMYFUNCTION("""COMPUTED_VALUE"""),6000)</f>
        <v>6000</v>
      </c>
      <c r="L592" s="29">
        <f ca="1">IFERROR(__xludf.DUMMYFUNCTION("""COMPUTED_VALUE"""),3)</f>
        <v>3</v>
      </c>
      <c r="M592" s="29">
        <f ca="1">IFERROR(__xludf.DUMMYFUNCTION("""COMPUTED_VALUE"""),0)</f>
        <v>0</v>
      </c>
      <c r="N592" s="29">
        <f ca="1">IFERROR(__xludf.DUMMYFUNCTION("""COMPUTED_VALUE"""),0)</f>
        <v>0</v>
      </c>
    </row>
    <row r="593" spans="2:14" ht="12.5">
      <c r="B593" s="2" t="str">
        <f ca="1">IFERROR(__xludf.DUMMYFUNCTION("""COMPUTED_VALUE"""),"宮崎西高")</f>
        <v>宮崎西高</v>
      </c>
      <c r="C593" s="2" t="str">
        <f ca="1">IFERROR(__xludf.DUMMYFUNCTION("""COMPUTED_VALUE"""),"#N/A")</f>
        <v>#N/A</v>
      </c>
      <c r="D593" s="2">
        <f ca="1">IFERROR(__xludf.DUMMYFUNCTION("""COMPUTED_VALUE"""),10000)</f>
        <v>10000</v>
      </c>
      <c r="E593" s="29">
        <f ca="1">IFERROR(__xludf.DUMMYFUNCTION("""COMPUTED_VALUE"""),0)</f>
        <v>0</v>
      </c>
      <c r="F593" s="30">
        <f ca="1">IFERROR(__xludf.DUMMYFUNCTION("""COMPUTED_VALUE"""),0)</f>
        <v>0</v>
      </c>
      <c r="G593" s="29">
        <f ca="1">IFERROR(__xludf.DUMMYFUNCTION("""COMPUTED_VALUE"""),10000)</f>
        <v>10000</v>
      </c>
      <c r="H593" s="30">
        <f ca="1">IFERROR(__xludf.DUMMYFUNCTION("""COMPUTED_VALUE"""),4)</f>
        <v>4</v>
      </c>
      <c r="I593" s="29">
        <f ca="1">IFERROR(__xludf.DUMMYFUNCTION("""COMPUTED_VALUE"""),4000)</f>
        <v>4000</v>
      </c>
      <c r="J593" s="29">
        <f ca="1">IFERROR(__xludf.DUMMYFUNCTION("""COMPUTED_VALUE"""),2)</f>
        <v>2</v>
      </c>
      <c r="K593" s="29">
        <f ca="1">IFERROR(__xludf.DUMMYFUNCTION("""COMPUTED_VALUE"""),12000)</f>
        <v>12000</v>
      </c>
      <c r="L593" s="29">
        <f ca="1">IFERROR(__xludf.DUMMYFUNCTION("""COMPUTED_VALUE"""),6)</f>
        <v>6</v>
      </c>
      <c r="M593" s="29">
        <f ca="1">IFERROR(__xludf.DUMMYFUNCTION("""COMPUTED_VALUE"""),0)</f>
        <v>0</v>
      </c>
      <c r="N593" s="29">
        <f ca="1">IFERROR(__xludf.DUMMYFUNCTION("""COMPUTED_VALUE"""),0)</f>
        <v>0</v>
      </c>
    </row>
    <row r="594" spans="2:14" ht="12.5">
      <c r="B594" s="2" t="str">
        <f ca="1">IFERROR(__xludf.DUMMYFUNCTION("""COMPUTED_VALUE"""),"鶴丸高")</f>
        <v>鶴丸高</v>
      </c>
      <c r="C594" s="2" t="str">
        <f ca="1">IFERROR(__xludf.DUMMYFUNCTION("""COMPUTED_VALUE"""),"#N/A")</f>
        <v>#N/A</v>
      </c>
      <c r="D594" s="2">
        <f ca="1">IFERROR(__xludf.DUMMYFUNCTION("""COMPUTED_VALUE"""),7500)</f>
        <v>7500</v>
      </c>
      <c r="E594" s="29">
        <f ca="1">IFERROR(__xludf.DUMMYFUNCTION("""COMPUTED_VALUE"""),0)</f>
        <v>0</v>
      </c>
      <c r="F594" s="30">
        <f ca="1">IFERROR(__xludf.DUMMYFUNCTION("""COMPUTED_VALUE"""),0)</f>
        <v>0</v>
      </c>
      <c r="G594" s="29">
        <f ca="1">IFERROR(__xludf.DUMMYFUNCTION("""COMPUTED_VALUE"""),7500)</f>
        <v>7500</v>
      </c>
      <c r="H594" s="30">
        <f ca="1">IFERROR(__xludf.DUMMYFUNCTION("""COMPUTED_VALUE"""),3)</f>
        <v>3</v>
      </c>
      <c r="I594" s="29">
        <f ca="1">IFERROR(__xludf.DUMMYFUNCTION("""COMPUTED_VALUE"""),12000)</f>
        <v>12000</v>
      </c>
      <c r="J594" s="29">
        <f ca="1">IFERROR(__xludf.DUMMYFUNCTION("""COMPUTED_VALUE"""),6)</f>
        <v>6</v>
      </c>
      <c r="K594" s="29">
        <f ca="1">IFERROR(__xludf.DUMMYFUNCTION("""COMPUTED_VALUE"""),22000)</f>
        <v>22000</v>
      </c>
      <c r="L594" s="29">
        <f ca="1">IFERROR(__xludf.DUMMYFUNCTION("""COMPUTED_VALUE"""),11)</f>
        <v>11</v>
      </c>
      <c r="M594" s="29">
        <f ca="1">IFERROR(__xludf.DUMMYFUNCTION("""COMPUTED_VALUE"""),0)</f>
        <v>0</v>
      </c>
      <c r="N594" s="29">
        <f ca="1">IFERROR(__xludf.DUMMYFUNCTION("""COMPUTED_VALUE"""),0)</f>
        <v>0</v>
      </c>
    </row>
    <row r="595" spans="2:14" ht="12.5">
      <c r="B595" s="2" t="str">
        <f ca="1">IFERROR(__xludf.DUMMYFUNCTION("""COMPUTED_VALUE"""),"立命館慶祥高")</f>
        <v>立命館慶祥高</v>
      </c>
      <c r="C595" s="2" t="str">
        <f ca="1">IFERROR(__xludf.DUMMYFUNCTION("""COMPUTED_VALUE"""),"#N/A")</f>
        <v>#N/A</v>
      </c>
      <c r="D595" s="2">
        <f ca="1">IFERROR(__xludf.DUMMYFUNCTION("""COMPUTED_VALUE"""),10000)</f>
        <v>10000</v>
      </c>
      <c r="E595" s="29">
        <f ca="1">IFERROR(__xludf.DUMMYFUNCTION("""COMPUTED_VALUE"""),0)</f>
        <v>0</v>
      </c>
      <c r="F595" s="30">
        <f ca="1">IFERROR(__xludf.DUMMYFUNCTION("""COMPUTED_VALUE"""),0)</f>
        <v>0</v>
      </c>
      <c r="G595" s="29">
        <f ca="1">IFERROR(__xludf.DUMMYFUNCTION("""COMPUTED_VALUE"""),10000)</f>
        <v>10000</v>
      </c>
      <c r="H595" s="30">
        <f ca="1">IFERROR(__xludf.DUMMYFUNCTION("""COMPUTED_VALUE"""),4)</f>
        <v>4</v>
      </c>
      <c r="I595" s="29">
        <f ca="1">IFERROR(__xludf.DUMMYFUNCTION("""COMPUTED_VALUE"""),8000)</f>
        <v>8000</v>
      </c>
      <c r="J595" s="29">
        <f ca="1">IFERROR(__xludf.DUMMYFUNCTION("""COMPUTED_VALUE"""),4)</f>
        <v>4</v>
      </c>
      <c r="K595" s="29">
        <f ca="1">IFERROR(__xludf.DUMMYFUNCTION("""COMPUTED_VALUE"""),4000)</f>
        <v>4000</v>
      </c>
      <c r="L595" s="29">
        <f ca="1">IFERROR(__xludf.DUMMYFUNCTION("""COMPUTED_VALUE"""),2)</f>
        <v>2</v>
      </c>
      <c r="M595" s="29">
        <f ca="1">IFERROR(__xludf.DUMMYFUNCTION("""COMPUTED_VALUE"""),0)</f>
        <v>0</v>
      </c>
      <c r="N595" s="29">
        <f ca="1">IFERROR(__xludf.DUMMYFUNCTION("""COMPUTED_VALUE"""),0)</f>
        <v>0</v>
      </c>
    </row>
    <row r="596" spans="2:14" ht="12.5">
      <c r="B596" s="2" t="str">
        <f ca="1">IFERROR(__xludf.DUMMYFUNCTION("""COMPUTED_VALUE"""),"仙台第二高")</f>
        <v>仙台第二高</v>
      </c>
      <c r="C596" s="2" t="str">
        <f ca="1">IFERROR(__xludf.DUMMYFUNCTION("""COMPUTED_VALUE"""),"#N/A")</f>
        <v>#N/A</v>
      </c>
      <c r="D596" s="2">
        <f ca="1">IFERROR(__xludf.DUMMYFUNCTION("""COMPUTED_VALUE"""),2500)</f>
        <v>2500</v>
      </c>
      <c r="E596" s="29">
        <f ca="1">IFERROR(__xludf.DUMMYFUNCTION("""COMPUTED_VALUE"""),0)</f>
        <v>0</v>
      </c>
      <c r="F596" s="30">
        <f ca="1">IFERROR(__xludf.DUMMYFUNCTION("""COMPUTED_VALUE"""),0)</f>
        <v>0</v>
      </c>
      <c r="G596" s="29">
        <f ca="1">IFERROR(__xludf.DUMMYFUNCTION("""COMPUTED_VALUE"""),2500)</f>
        <v>2500</v>
      </c>
      <c r="H596" s="30">
        <f ca="1">IFERROR(__xludf.DUMMYFUNCTION("""COMPUTED_VALUE"""),1)</f>
        <v>1</v>
      </c>
      <c r="I596" s="29">
        <f ca="1">IFERROR(__xludf.DUMMYFUNCTION("""COMPUTED_VALUE"""),0)</f>
        <v>0</v>
      </c>
      <c r="J596" s="29">
        <f ca="1">IFERROR(__xludf.DUMMYFUNCTION("""COMPUTED_VALUE"""),0)</f>
        <v>0</v>
      </c>
      <c r="K596" s="29">
        <f ca="1">IFERROR(__xludf.DUMMYFUNCTION("""COMPUTED_VALUE"""),2000)</f>
        <v>2000</v>
      </c>
      <c r="L596" s="29">
        <f ca="1">IFERROR(__xludf.DUMMYFUNCTION("""COMPUTED_VALUE"""),1)</f>
        <v>1</v>
      </c>
      <c r="M596" s="29">
        <f ca="1">IFERROR(__xludf.DUMMYFUNCTION("""COMPUTED_VALUE"""),0)</f>
        <v>0</v>
      </c>
      <c r="N596" s="29">
        <f ca="1">IFERROR(__xludf.DUMMYFUNCTION("""COMPUTED_VALUE"""),0)</f>
        <v>0</v>
      </c>
    </row>
    <row r="597" spans="2:14" ht="12.5">
      <c r="B597" s="2" t="str">
        <f ca="1">IFERROR(__xludf.DUMMYFUNCTION("""COMPUTED_VALUE"""),"高崎女子高")</f>
        <v>高崎女子高</v>
      </c>
      <c r="C597" s="2" t="str">
        <f ca="1">IFERROR(__xludf.DUMMYFUNCTION("""COMPUTED_VALUE"""),"#N/A")</f>
        <v>#N/A</v>
      </c>
      <c r="D597" s="2">
        <f ca="1">IFERROR(__xludf.DUMMYFUNCTION("""COMPUTED_VALUE"""),5000)</f>
        <v>5000</v>
      </c>
      <c r="E597" s="29">
        <f ca="1">IFERROR(__xludf.DUMMYFUNCTION("""COMPUTED_VALUE"""),0)</f>
        <v>0</v>
      </c>
      <c r="F597" s="30">
        <f ca="1">IFERROR(__xludf.DUMMYFUNCTION("""COMPUTED_VALUE"""),0)</f>
        <v>0</v>
      </c>
      <c r="G597" s="29">
        <f ca="1">IFERROR(__xludf.DUMMYFUNCTION("""COMPUTED_VALUE"""),5000)</f>
        <v>5000</v>
      </c>
      <c r="H597" s="30">
        <f ca="1">IFERROR(__xludf.DUMMYFUNCTION("""COMPUTED_VALUE"""),2)</f>
        <v>2</v>
      </c>
      <c r="I597" s="29">
        <f ca="1">IFERROR(__xludf.DUMMYFUNCTION("""COMPUTED_VALUE"""),4000)</f>
        <v>4000</v>
      </c>
      <c r="J597" s="29">
        <f ca="1">IFERROR(__xludf.DUMMYFUNCTION("""COMPUTED_VALUE"""),2)</f>
        <v>2</v>
      </c>
      <c r="K597" s="29">
        <f ca="1">IFERROR(__xludf.DUMMYFUNCTION("""COMPUTED_VALUE"""),12000)</f>
        <v>12000</v>
      </c>
      <c r="L597" s="29">
        <f ca="1">IFERROR(__xludf.DUMMYFUNCTION("""COMPUTED_VALUE"""),6)</f>
        <v>6</v>
      </c>
      <c r="M597" s="29">
        <f ca="1">IFERROR(__xludf.DUMMYFUNCTION("""COMPUTED_VALUE"""),0)</f>
        <v>0</v>
      </c>
      <c r="N597" s="29">
        <f ca="1">IFERROR(__xludf.DUMMYFUNCTION("""COMPUTED_VALUE"""),0)</f>
        <v>0</v>
      </c>
    </row>
    <row r="598" spans="2:14" ht="12.5">
      <c r="B598" s="2" t="str">
        <f ca="1">IFERROR(__xludf.DUMMYFUNCTION("""COMPUTED_VALUE"""),"高崎健康福祉大高")</f>
        <v>高崎健康福祉大高</v>
      </c>
      <c r="C598" s="2" t="str">
        <f ca="1">IFERROR(__xludf.DUMMYFUNCTION("""COMPUTED_VALUE"""),"#N/A")</f>
        <v>#N/A</v>
      </c>
      <c r="D598" s="2">
        <f ca="1">IFERROR(__xludf.DUMMYFUNCTION("""COMPUTED_VALUE"""),2500)</f>
        <v>2500</v>
      </c>
      <c r="E598" s="29">
        <f ca="1">IFERROR(__xludf.DUMMYFUNCTION("""COMPUTED_VALUE"""),0)</f>
        <v>0</v>
      </c>
      <c r="F598" s="30">
        <f ca="1">IFERROR(__xludf.DUMMYFUNCTION("""COMPUTED_VALUE"""),0)</f>
        <v>0</v>
      </c>
      <c r="G598" s="29">
        <f ca="1">IFERROR(__xludf.DUMMYFUNCTION("""COMPUTED_VALUE"""),2500)</f>
        <v>2500</v>
      </c>
      <c r="H598" s="30">
        <f ca="1">IFERROR(__xludf.DUMMYFUNCTION("""COMPUTED_VALUE"""),1)</f>
        <v>1</v>
      </c>
      <c r="I598" s="29">
        <f ca="1">IFERROR(__xludf.DUMMYFUNCTION("""COMPUTED_VALUE"""),0)</f>
        <v>0</v>
      </c>
      <c r="J598" s="29">
        <f ca="1">IFERROR(__xludf.DUMMYFUNCTION("""COMPUTED_VALUE"""),0)</f>
        <v>0</v>
      </c>
      <c r="K598" s="29">
        <f ca="1">IFERROR(__xludf.DUMMYFUNCTION("""COMPUTED_VALUE"""),4000)</f>
        <v>4000</v>
      </c>
      <c r="L598" s="29">
        <f ca="1">IFERROR(__xludf.DUMMYFUNCTION("""COMPUTED_VALUE"""),2)</f>
        <v>2</v>
      </c>
      <c r="M598" s="29">
        <f ca="1">IFERROR(__xludf.DUMMYFUNCTION("""COMPUTED_VALUE"""),0)</f>
        <v>0</v>
      </c>
      <c r="N598" s="29">
        <f ca="1">IFERROR(__xludf.DUMMYFUNCTION("""COMPUTED_VALUE"""),0)</f>
        <v>0</v>
      </c>
    </row>
    <row r="599" spans="2:14" ht="12.5">
      <c r="B599" s="2" t="str">
        <f ca="1">IFERROR(__xludf.DUMMYFUNCTION("""COMPUTED_VALUE"""),"渋谷教育学園幕張高")</f>
        <v>渋谷教育学園幕張高</v>
      </c>
      <c r="C599" s="2" t="str">
        <f ca="1">IFERROR(__xludf.DUMMYFUNCTION("""COMPUTED_VALUE"""),"#N/A")</f>
        <v>#N/A</v>
      </c>
      <c r="D599" s="2">
        <f ca="1">IFERROR(__xludf.DUMMYFUNCTION("""COMPUTED_VALUE"""),5000)</f>
        <v>5000</v>
      </c>
      <c r="E599" s="29">
        <f ca="1">IFERROR(__xludf.DUMMYFUNCTION("""COMPUTED_VALUE"""),0)</f>
        <v>0</v>
      </c>
      <c r="F599" s="30">
        <f ca="1">IFERROR(__xludf.DUMMYFUNCTION("""COMPUTED_VALUE"""),0)</f>
        <v>0</v>
      </c>
      <c r="G599" s="29">
        <f ca="1">IFERROR(__xludf.DUMMYFUNCTION("""COMPUTED_VALUE"""),5000)</f>
        <v>5000</v>
      </c>
      <c r="H599" s="30">
        <f ca="1">IFERROR(__xludf.DUMMYFUNCTION("""COMPUTED_VALUE"""),2)</f>
        <v>2</v>
      </c>
      <c r="I599" s="29">
        <f ca="1">IFERROR(__xludf.DUMMYFUNCTION("""COMPUTED_VALUE"""),4000)</f>
        <v>4000</v>
      </c>
      <c r="J599" s="29">
        <f ca="1">IFERROR(__xludf.DUMMYFUNCTION("""COMPUTED_VALUE"""),2)</f>
        <v>2</v>
      </c>
      <c r="K599" s="29">
        <f ca="1">IFERROR(__xludf.DUMMYFUNCTION("""COMPUTED_VALUE"""),2000)</f>
        <v>2000</v>
      </c>
      <c r="L599" s="29">
        <f ca="1">IFERROR(__xludf.DUMMYFUNCTION("""COMPUTED_VALUE"""),1)</f>
        <v>1</v>
      </c>
      <c r="M599" s="29">
        <f ca="1">IFERROR(__xludf.DUMMYFUNCTION("""COMPUTED_VALUE"""),0)</f>
        <v>0</v>
      </c>
      <c r="N599" s="29">
        <f ca="1">IFERROR(__xludf.DUMMYFUNCTION("""COMPUTED_VALUE"""),0)</f>
        <v>0</v>
      </c>
    </row>
    <row r="600" spans="2:14" ht="12.5">
      <c r="B600" s="2" t="str">
        <f ca="1">IFERROR(__xludf.DUMMYFUNCTION("""COMPUTED_VALUE"""),"桜修館中等教育")</f>
        <v>桜修館中等教育</v>
      </c>
      <c r="C600" s="2" t="str">
        <f ca="1">IFERROR(__xludf.DUMMYFUNCTION("""COMPUTED_VALUE"""),"#N/A")</f>
        <v>#N/A</v>
      </c>
      <c r="D600" s="2">
        <f ca="1">IFERROR(__xludf.DUMMYFUNCTION("""COMPUTED_VALUE"""),5000)</f>
        <v>5000</v>
      </c>
      <c r="E600" s="29">
        <f ca="1">IFERROR(__xludf.DUMMYFUNCTION("""COMPUTED_VALUE"""),0)</f>
        <v>0</v>
      </c>
      <c r="F600" s="30">
        <f ca="1">IFERROR(__xludf.DUMMYFUNCTION("""COMPUTED_VALUE"""),0)</f>
        <v>0</v>
      </c>
      <c r="G600" s="29">
        <f ca="1">IFERROR(__xludf.DUMMYFUNCTION("""COMPUTED_VALUE"""),5000)</f>
        <v>5000</v>
      </c>
      <c r="H600" s="30">
        <f ca="1">IFERROR(__xludf.DUMMYFUNCTION("""COMPUTED_VALUE"""),2)</f>
        <v>2</v>
      </c>
      <c r="I600" s="29">
        <f ca="1">IFERROR(__xludf.DUMMYFUNCTION("""COMPUTED_VALUE"""),4000)</f>
        <v>4000</v>
      </c>
      <c r="J600" s="29">
        <f ca="1">IFERROR(__xludf.DUMMYFUNCTION("""COMPUTED_VALUE"""),2)</f>
        <v>2</v>
      </c>
      <c r="K600" s="29">
        <f ca="1">IFERROR(__xludf.DUMMYFUNCTION("""COMPUTED_VALUE"""),12000)</f>
        <v>12000</v>
      </c>
      <c r="L600" s="29">
        <f ca="1">IFERROR(__xludf.DUMMYFUNCTION("""COMPUTED_VALUE"""),6)</f>
        <v>6</v>
      </c>
      <c r="M600" s="29">
        <f ca="1">IFERROR(__xludf.DUMMYFUNCTION("""COMPUTED_VALUE"""),0)</f>
        <v>0</v>
      </c>
      <c r="N600" s="29">
        <f ca="1">IFERROR(__xludf.DUMMYFUNCTION("""COMPUTED_VALUE"""),0)</f>
        <v>0</v>
      </c>
    </row>
    <row r="601" spans="2:14" ht="12.5">
      <c r="B601" s="2" t="str">
        <f ca="1">IFERROR(__xludf.DUMMYFUNCTION("""COMPUTED_VALUE"""),"桐蔭学園高")</f>
        <v>桐蔭学園高</v>
      </c>
      <c r="C601" s="2" t="str">
        <f ca="1">IFERROR(__xludf.DUMMYFUNCTION("""COMPUTED_VALUE"""),"#N/A")</f>
        <v>#N/A</v>
      </c>
      <c r="D601" s="2">
        <f ca="1">IFERROR(__xludf.DUMMYFUNCTION("""COMPUTED_VALUE"""),2500)</f>
        <v>2500</v>
      </c>
      <c r="E601" s="29">
        <f ca="1">IFERROR(__xludf.DUMMYFUNCTION("""COMPUTED_VALUE"""),0)</f>
        <v>0</v>
      </c>
      <c r="F601" s="30">
        <f ca="1">IFERROR(__xludf.DUMMYFUNCTION("""COMPUTED_VALUE"""),0)</f>
        <v>0</v>
      </c>
      <c r="G601" s="29">
        <f ca="1">IFERROR(__xludf.DUMMYFUNCTION("""COMPUTED_VALUE"""),2500)</f>
        <v>2500</v>
      </c>
      <c r="H601" s="30">
        <f ca="1">IFERROR(__xludf.DUMMYFUNCTION("""COMPUTED_VALUE"""),1)</f>
        <v>1</v>
      </c>
      <c r="I601" s="29">
        <f ca="1">IFERROR(__xludf.DUMMYFUNCTION("""COMPUTED_VALUE"""),4000)</f>
        <v>4000</v>
      </c>
      <c r="J601" s="29">
        <f ca="1">IFERROR(__xludf.DUMMYFUNCTION("""COMPUTED_VALUE"""),2)</f>
        <v>2</v>
      </c>
      <c r="K601" s="29">
        <f ca="1">IFERROR(__xludf.DUMMYFUNCTION("""COMPUTED_VALUE"""),2000)</f>
        <v>2000</v>
      </c>
      <c r="L601" s="29">
        <f ca="1">IFERROR(__xludf.DUMMYFUNCTION("""COMPUTED_VALUE"""),1)</f>
        <v>1</v>
      </c>
      <c r="M601" s="29">
        <f ca="1">IFERROR(__xludf.DUMMYFUNCTION("""COMPUTED_VALUE"""),0)</f>
        <v>0</v>
      </c>
      <c r="N601" s="29">
        <f ca="1">IFERROR(__xludf.DUMMYFUNCTION("""COMPUTED_VALUE"""),0)</f>
        <v>0</v>
      </c>
    </row>
    <row r="602" spans="2:14" ht="12.5">
      <c r="B602" s="2" t="str">
        <f ca="1">IFERROR(__xludf.DUMMYFUNCTION("""COMPUTED_VALUE"""),"富山中部高")</f>
        <v>富山中部高</v>
      </c>
      <c r="C602" s="2" t="str">
        <f ca="1">IFERROR(__xludf.DUMMYFUNCTION("""COMPUTED_VALUE"""),"#N/A")</f>
        <v>#N/A</v>
      </c>
      <c r="D602" s="2">
        <f ca="1">IFERROR(__xludf.DUMMYFUNCTION("""COMPUTED_VALUE"""),2500)</f>
        <v>2500</v>
      </c>
      <c r="E602" s="29">
        <f ca="1">IFERROR(__xludf.DUMMYFUNCTION("""COMPUTED_VALUE"""),0)</f>
        <v>0</v>
      </c>
      <c r="F602" s="30">
        <f ca="1">IFERROR(__xludf.DUMMYFUNCTION("""COMPUTED_VALUE"""),0)</f>
        <v>0</v>
      </c>
      <c r="G602" s="29">
        <f ca="1">IFERROR(__xludf.DUMMYFUNCTION("""COMPUTED_VALUE"""),2500)</f>
        <v>2500</v>
      </c>
      <c r="H602" s="30">
        <f ca="1">IFERROR(__xludf.DUMMYFUNCTION("""COMPUTED_VALUE"""),1)</f>
        <v>1</v>
      </c>
      <c r="I602" s="29">
        <f ca="1">IFERROR(__xludf.DUMMYFUNCTION("""COMPUTED_VALUE"""),2000)</f>
        <v>2000</v>
      </c>
      <c r="J602" s="29">
        <f ca="1">IFERROR(__xludf.DUMMYFUNCTION("""COMPUTED_VALUE"""),1)</f>
        <v>1</v>
      </c>
      <c r="K602" s="29">
        <f ca="1">IFERROR(__xludf.DUMMYFUNCTION("""COMPUTED_VALUE"""),2000)</f>
        <v>2000</v>
      </c>
      <c r="L602" s="29">
        <f ca="1">IFERROR(__xludf.DUMMYFUNCTION("""COMPUTED_VALUE"""),1)</f>
        <v>1</v>
      </c>
      <c r="M602" s="29">
        <f ca="1">IFERROR(__xludf.DUMMYFUNCTION("""COMPUTED_VALUE"""),0)</f>
        <v>0</v>
      </c>
      <c r="N602" s="29">
        <f ca="1">IFERROR(__xludf.DUMMYFUNCTION("""COMPUTED_VALUE"""),0)</f>
        <v>0</v>
      </c>
    </row>
    <row r="603" spans="2:14" ht="12.5">
      <c r="B603" s="2" t="str">
        <f ca="1">IFERROR(__xludf.DUMMYFUNCTION("""COMPUTED_VALUE"""),"金津高")</f>
        <v>金津高</v>
      </c>
      <c r="C603" s="2" t="str">
        <f ca="1">IFERROR(__xludf.DUMMYFUNCTION("""COMPUTED_VALUE"""),"#N/A")</f>
        <v>#N/A</v>
      </c>
      <c r="D603" s="2">
        <f ca="1">IFERROR(__xludf.DUMMYFUNCTION("""COMPUTED_VALUE"""),2500)</f>
        <v>2500</v>
      </c>
      <c r="E603" s="29">
        <f ca="1">IFERROR(__xludf.DUMMYFUNCTION("""COMPUTED_VALUE"""),0)</f>
        <v>0</v>
      </c>
      <c r="F603" s="30">
        <f ca="1">IFERROR(__xludf.DUMMYFUNCTION("""COMPUTED_VALUE"""),0)</f>
        <v>0</v>
      </c>
      <c r="G603" s="29">
        <f ca="1">IFERROR(__xludf.DUMMYFUNCTION("""COMPUTED_VALUE"""),2500)</f>
        <v>2500</v>
      </c>
      <c r="H603" s="30">
        <f ca="1">IFERROR(__xludf.DUMMYFUNCTION("""COMPUTED_VALUE"""),1)</f>
        <v>1</v>
      </c>
      <c r="I603" s="29">
        <f ca="1">IFERROR(__xludf.DUMMYFUNCTION("""COMPUTED_VALUE"""),2000)</f>
        <v>2000</v>
      </c>
      <c r="J603" s="29">
        <f ca="1">IFERROR(__xludf.DUMMYFUNCTION("""COMPUTED_VALUE"""),1)</f>
        <v>1</v>
      </c>
      <c r="K603" s="29">
        <f ca="1">IFERROR(__xludf.DUMMYFUNCTION("""COMPUTED_VALUE"""),0)</f>
        <v>0</v>
      </c>
      <c r="L603" s="29">
        <f ca="1">IFERROR(__xludf.DUMMYFUNCTION("""COMPUTED_VALUE"""),0)</f>
        <v>0</v>
      </c>
      <c r="M603" s="29">
        <f ca="1">IFERROR(__xludf.DUMMYFUNCTION("""COMPUTED_VALUE"""),0)</f>
        <v>0</v>
      </c>
      <c r="N603" s="29">
        <f ca="1">IFERROR(__xludf.DUMMYFUNCTION("""COMPUTED_VALUE"""),0)</f>
        <v>0</v>
      </c>
    </row>
    <row r="604" spans="2:14" ht="12.5">
      <c r="B604" s="2" t="str">
        <f ca="1">IFERROR(__xludf.DUMMYFUNCTION("""COMPUTED_VALUE"""),"長野高")</f>
        <v>長野高</v>
      </c>
      <c r="C604" s="2" t="str">
        <f ca="1">IFERROR(__xludf.DUMMYFUNCTION("""COMPUTED_VALUE"""),"#N/A")</f>
        <v>#N/A</v>
      </c>
      <c r="D604" s="2">
        <f ca="1">IFERROR(__xludf.DUMMYFUNCTION("""COMPUTED_VALUE"""),2500)</f>
        <v>2500</v>
      </c>
      <c r="E604" s="29">
        <f ca="1">IFERROR(__xludf.DUMMYFUNCTION("""COMPUTED_VALUE"""),0)</f>
        <v>0</v>
      </c>
      <c r="F604" s="30">
        <f ca="1">IFERROR(__xludf.DUMMYFUNCTION("""COMPUTED_VALUE"""),0)</f>
        <v>0</v>
      </c>
      <c r="G604" s="29">
        <f ca="1">IFERROR(__xludf.DUMMYFUNCTION("""COMPUTED_VALUE"""),2500)</f>
        <v>2500</v>
      </c>
      <c r="H604" s="30">
        <f ca="1">IFERROR(__xludf.DUMMYFUNCTION("""COMPUTED_VALUE"""),1)</f>
        <v>1</v>
      </c>
      <c r="I604" s="29">
        <f ca="1">IFERROR(__xludf.DUMMYFUNCTION("""COMPUTED_VALUE"""),6000)</f>
        <v>6000</v>
      </c>
      <c r="J604" s="29">
        <f ca="1">IFERROR(__xludf.DUMMYFUNCTION("""COMPUTED_VALUE"""),3)</f>
        <v>3</v>
      </c>
      <c r="K604" s="29">
        <f ca="1">IFERROR(__xludf.DUMMYFUNCTION("""COMPUTED_VALUE"""),10000)</f>
        <v>10000</v>
      </c>
      <c r="L604" s="29">
        <f ca="1">IFERROR(__xludf.DUMMYFUNCTION("""COMPUTED_VALUE"""),5)</f>
        <v>5</v>
      </c>
      <c r="M604" s="29">
        <f ca="1">IFERROR(__xludf.DUMMYFUNCTION("""COMPUTED_VALUE"""),0)</f>
        <v>0</v>
      </c>
      <c r="N604" s="29">
        <f ca="1">IFERROR(__xludf.DUMMYFUNCTION("""COMPUTED_VALUE"""),0)</f>
        <v>0</v>
      </c>
    </row>
    <row r="605" spans="2:14" ht="12.5">
      <c r="B605" s="2" t="str">
        <f ca="1">IFERROR(__xludf.DUMMYFUNCTION("""COMPUTED_VALUE"""),"静岡東高")</f>
        <v>静岡東高</v>
      </c>
      <c r="C605" s="2" t="str">
        <f ca="1">IFERROR(__xludf.DUMMYFUNCTION("""COMPUTED_VALUE"""),"#N/A")</f>
        <v>#N/A</v>
      </c>
      <c r="D605" s="2">
        <f ca="1">IFERROR(__xludf.DUMMYFUNCTION("""COMPUTED_VALUE"""),2500)</f>
        <v>2500</v>
      </c>
      <c r="E605" s="29">
        <f ca="1">IFERROR(__xludf.DUMMYFUNCTION("""COMPUTED_VALUE"""),0)</f>
        <v>0</v>
      </c>
      <c r="F605" s="30">
        <f ca="1">IFERROR(__xludf.DUMMYFUNCTION("""COMPUTED_VALUE"""),0)</f>
        <v>0</v>
      </c>
      <c r="G605" s="29">
        <f ca="1">IFERROR(__xludf.DUMMYFUNCTION("""COMPUTED_VALUE"""),2500)</f>
        <v>2500</v>
      </c>
      <c r="H605" s="30">
        <f ca="1">IFERROR(__xludf.DUMMYFUNCTION("""COMPUTED_VALUE"""),1)</f>
        <v>1</v>
      </c>
      <c r="I605" s="29">
        <f ca="1">IFERROR(__xludf.DUMMYFUNCTION("""COMPUTED_VALUE"""),0)</f>
        <v>0</v>
      </c>
      <c r="J605" s="29">
        <f ca="1">IFERROR(__xludf.DUMMYFUNCTION("""COMPUTED_VALUE"""),0)</f>
        <v>0</v>
      </c>
      <c r="K605" s="29">
        <f ca="1">IFERROR(__xludf.DUMMYFUNCTION("""COMPUTED_VALUE"""),0)</f>
        <v>0</v>
      </c>
      <c r="L605" s="29">
        <f ca="1">IFERROR(__xludf.DUMMYFUNCTION("""COMPUTED_VALUE"""),0)</f>
        <v>0</v>
      </c>
      <c r="M605" s="29">
        <f ca="1">IFERROR(__xludf.DUMMYFUNCTION("""COMPUTED_VALUE"""),0)</f>
        <v>0</v>
      </c>
      <c r="N605" s="29">
        <f ca="1">IFERROR(__xludf.DUMMYFUNCTION("""COMPUTED_VALUE"""),0)</f>
        <v>0</v>
      </c>
    </row>
    <row r="606" spans="2:14" ht="12.5">
      <c r="B606" s="2" t="str">
        <f ca="1">IFERROR(__xludf.DUMMYFUNCTION("""COMPUTED_VALUE"""),"瑞陵高")</f>
        <v>瑞陵高</v>
      </c>
      <c r="C606" s="2" t="str">
        <f ca="1">IFERROR(__xludf.DUMMYFUNCTION("""COMPUTED_VALUE"""),"#N/A")</f>
        <v>#N/A</v>
      </c>
      <c r="D606" s="2">
        <f ca="1">IFERROR(__xludf.DUMMYFUNCTION("""COMPUTED_VALUE"""),2500)</f>
        <v>2500</v>
      </c>
      <c r="E606" s="29">
        <f ca="1">IFERROR(__xludf.DUMMYFUNCTION("""COMPUTED_VALUE"""),0)</f>
        <v>0</v>
      </c>
      <c r="F606" s="30">
        <f ca="1">IFERROR(__xludf.DUMMYFUNCTION("""COMPUTED_VALUE"""),0)</f>
        <v>0</v>
      </c>
      <c r="G606" s="29">
        <f ca="1">IFERROR(__xludf.DUMMYFUNCTION("""COMPUTED_VALUE"""),2500)</f>
        <v>2500</v>
      </c>
      <c r="H606" s="30">
        <f ca="1">IFERROR(__xludf.DUMMYFUNCTION("""COMPUTED_VALUE"""),1)</f>
        <v>1</v>
      </c>
      <c r="I606" s="29">
        <f ca="1">IFERROR(__xludf.DUMMYFUNCTION("""COMPUTED_VALUE"""),0)</f>
        <v>0</v>
      </c>
      <c r="J606" s="29">
        <f ca="1">IFERROR(__xludf.DUMMYFUNCTION("""COMPUTED_VALUE"""),0)</f>
        <v>0</v>
      </c>
      <c r="K606" s="29">
        <f ca="1">IFERROR(__xludf.DUMMYFUNCTION("""COMPUTED_VALUE"""),0)</f>
        <v>0</v>
      </c>
      <c r="L606" s="29">
        <f ca="1">IFERROR(__xludf.DUMMYFUNCTION("""COMPUTED_VALUE"""),0)</f>
        <v>0</v>
      </c>
      <c r="M606" s="29">
        <f ca="1">IFERROR(__xludf.DUMMYFUNCTION("""COMPUTED_VALUE"""),0)</f>
        <v>0</v>
      </c>
      <c r="N606" s="29">
        <f ca="1">IFERROR(__xludf.DUMMYFUNCTION("""COMPUTED_VALUE"""),0)</f>
        <v>0</v>
      </c>
    </row>
    <row r="607" spans="2:14" ht="12.5">
      <c r="B607" s="2" t="str">
        <f ca="1">IFERROR(__xludf.DUMMYFUNCTION("""COMPUTED_VALUE"""),"松阪高")</f>
        <v>松阪高</v>
      </c>
      <c r="C607" s="2" t="str">
        <f ca="1">IFERROR(__xludf.DUMMYFUNCTION("""COMPUTED_VALUE"""),"#N/A")</f>
        <v>#N/A</v>
      </c>
      <c r="D607" s="2">
        <f ca="1">IFERROR(__xludf.DUMMYFUNCTION("""COMPUTED_VALUE"""),2500)</f>
        <v>2500</v>
      </c>
      <c r="E607" s="29">
        <f ca="1">IFERROR(__xludf.DUMMYFUNCTION("""COMPUTED_VALUE"""),0)</f>
        <v>0</v>
      </c>
      <c r="F607" s="30">
        <f ca="1">IFERROR(__xludf.DUMMYFUNCTION("""COMPUTED_VALUE"""),0)</f>
        <v>0</v>
      </c>
      <c r="G607" s="29">
        <f ca="1">IFERROR(__xludf.DUMMYFUNCTION("""COMPUTED_VALUE"""),2500)</f>
        <v>2500</v>
      </c>
      <c r="H607" s="30">
        <f ca="1">IFERROR(__xludf.DUMMYFUNCTION("""COMPUTED_VALUE"""),1)</f>
        <v>1</v>
      </c>
      <c r="I607" s="29">
        <f ca="1">IFERROR(__xludf.DUMMYFUNCTION("""COMPUTED_VALUE"""),0)</f>
        <v>0</v>
      </c>
      <c r="J607" s="29">
        <f ca="1">IFERROR(__xludf.DUMMYFUNCTION("""COMPUTED_VALUE"""),0)</f>
        <v>0</v>
      </c>
      <c r="K607" s="29">
        <f ca="1">IFERROR(__xludf.DUMMYFUNCTION("""COMPUTED_VALUE"""),0)</f>
        <v>0</v>
      </c>
      <c r="L607" s="29">
        <f ca="1">IFERROR(__xludf.DUMMYFUNCTION("""COMPUTED_VALUE"""),0)</f>
        <v>0</v>
      </c>
      <c r="M607" s="29">
        <f ca="1">IFERROR(__xludf.DUMMYFUNCTION("""COMPUTED_VALUE"""),0)</f>
        <v>0</v>
      </c>
      <c r="N607" s="29">
        <f ca="1">IFERROR(__xludf.DUMMYFUNCTION("""COMPUTED_VALUE"""),0)</f>
        <v>0</v>
      </c>
    </row>
    <row r="608" spans="2:14" ht="12.5">
      <c r="B608" s="2" t="str">
        <f ca="1">IFERROR(__xludf.DUMMYFUNCTION("""COMPUTED_VALUE"""),"京都先端科学大附高")</f>
        <v>京都先端科学大附高</v>
      </c>
      <c r="C608" s="2" t="str">
        <f ca="1">IFERROR(__xludf.DUMMYFUNCTION("""COMPUTED_VALUE"""),"#N/A")</f>
        <v>#N/A</v>
      </c>
      <c r="D608" s="2">
        <f ca="1">IFERROR(__xludf.DUMMYFUNCTION("""COMPUTED_VALUE"""),2500)</f>
        <v>2500</v>
      </c>
      <c r="E608" s="29">
        <f ca="1">IFERROR(__xludf.DUMMYFUNCTION("""COMPUTED_VALUE"""),0)</f>
        <v>0</v>
      </c>
      <c r="F608" s="30">
        <f ca="1">IFERROR(__xludf.DUMMYFUNCTION("""COMPUTED_VALUE"""),0)</f>
        <v>0</v>
      </c>
      <c r="G608" s="29">
        <f ca="1">IFERROR(__xludf.DUMMYFUNCTION("""COMPUTED_VALUE"""),2500)</f>
        <v>2500</v>
      </c>
      <c r="H608" s="30">
        <f ca="1">IFERROR(__xludf.DUMMYFUNCTION("""COMPUTED_VALUE"""),1)</f>
        <v>1</v>
      </c>
      <c r="I608" s="29">
        <f ca="1">IFERROR(__xludf.DUMMYFUNCTION("""COMPUTED_VALUE"""),0)</f>
        <v>0</v>
      </c>
      <c r="J608" s="29">
        <f ca="1">IFERROR(__xludf.DUMMYFUNCTION("""COMPUTED_VALUE"""),0)</f>
        <v>0</v>
      </c>
      <c r="K608" s="29">
        <f ca="1">IFERROR(__xludf.DUMMYFUNCTION("""COMPUTED_VALUE"""),0)</f>
        <v>0</v>
      </c>
      <c r="L608" s="29">
        <f ca="1">IFERROR(__xludf.DUMMYFUNCTION("""COMPUTED_VALUE"""),0)</f>
        <v>0</v>
      </c>
      <c r="M608" s="29">
        <f ca="1">IFERROR(__xludf.DUMMYFUNCTION("""COMPUTED_VALUE"""),0)</f>
        <v>0</v>
      </c>
      <c r="N608" s="29">
        <f ca="1">IFERROR(__xludf.DUMMYFUNCTION("""COMPUTED_VALUE"""),0)</f>
        <v>0</v>
      </c>
    </row>
    <row r="609" spans="2:14" ht="12.5">
      <c r="B609" s="2" t="str">
        <f ca="1">IFERROR(__xludf.DUMMYFUNCTION("""COMPUTED_VALUE"""),"洛北高")</f>
        <v>洛北高</v>
      </c>
      <c r="C609" s="2" t="str">
        <f ca="1">IFERROR(__xludf.DUMMYFUNCTION("""COMPUTED_VALUE"""),"#N/A")</f>
        <v>#N/A</v>
      </c>
      <c r="D609" s="2">
        <f ca="1">IFERROR(__xludf.DUMMYFUNCTION("""COMPUTED_VALUE"""),5000)</f>
        <v>5000</v>
      </c>
      <c r="E609" s="29">
        <f ca="1">IFERROR(__xludf.DUMMYFUNCTION("""COMPUTED_VALUE"""),0)</f>
        <v>0</v>
      </c>
      <c r="F609" s="30">
        <f ca="1">IFERROR(__xludf.DUMMYFUNCTION("""COMPUTED_VALUE"""),0)</f>
        <v>0</v>
      </c>
      <c r="G609" s="29">
        <f ca="1">IFERROR(__xludf.DUMMYFUNCTION("""COMPUTED_VALUE"""),5000)</f>
        <v>5000</v>
      </c>
      <c r="H609" s="30">
        <f ca="1">IFERROR(__xludf.DUMMYFUNCTION("""COMPUTED_VALUE"""),2)</f>
        <v>2</v>
      </c>
      <c r="I609" s="29">
        <f ca="1">IFERROR(__xludf.DUMMYFUNCTION("""COMPUTED_VALUE"""),6000)</f>
        <v>6000</v>
      </c>
      <c r="J609" s="29">
        <f ca="1">IFERROR(__xludf.DUMMYFUNCTION("""COMPUTED_VALUE"""),3)</f>
        <v>3</v>
      </c>
      <c r="K609" s="29">
        <f ca="1">IFERROR(__xludf.DUMMYFUNCTION("""COMPUTED_VALUE"""),6000)</f>
        <v>6000</v>
      </c>
      <c r="L609" s="29">
        <f ca="1">IFERROR(__xludf.DUMMYFUNCTION("""COMPUTED_VALUE"""),3)</f>
        <v>3</v>
      </c>
      <c r="M609" s="29">
        <f ca="1">IFERROR(__xludf.DUMMYFUNCTION("""COMPUTED_VALUE"""),0)</f>
        <v>0</v>
      </c>
      <c r="N609" s="29">
        <f ca="1">IFERROR(__xludf.DUMMYFUNCTION("""COMPUTED_VALUE"""),0)</f>
        <v>0</v>
      </c>
    </row>
    <row r="610" spans="2:14" ht="12.5">
      <c r="B610" s="2" t="str">
        <f ca="1">IFERROR(__xludf.DUMMYFUNCTION("""COMPUTED_VALUE"""),"市西宮高")</f>
        <v>市西宮高</v>
      </c>
      <c r="C610" s="2" t="str">
        <f ca="1">IFERROR(__xludf.DUMMYFUNCTION("""COMPUTED_VALUE"""),"#N/A")</f>
        <v>#N/A</v>
      </c>
      <c r="D610" s="2">
        <f ca="1">IFERROR(__xludf.DUMMYFUNCTION("""COMPUTED_VALUE"""),2500)</f>
        <v>2500</v>
      </c>
      <c r="E610" s="29">
        <f ca="1">IFERROR(__xludf.DUMMYFUNCTION("""COMPUTED_VALUE"""),0)</f>
        <v>0</v>
      </c>
      <c r="F610" s="30">
        <f ca="1">IFERROR(__xludf.DUMMYFUNCTION("""COMPUTED_VALUE"""),0)</f>
        <v>0</v>
      </c>
      <c r="G610" s="29">
        <f ca="1">IFERROR(__xludf.DUMMYFUNCTION("""COMPUTED_VALUE"""),2500)</f>
        <v>2500</v>
      </c>
      <c r="H610" s="30">
        <f ca="1">IFERROR(__xludf.DUMMYFUNCTION("""COMPUTED_VALUE"""),1)</f>
        <v>1</v>
      </c>
      <c r="I610" s="29">
        <f ca="1">IFERROR(__xludf.DUMMYFUNCTION("""COMPUTED_VALUE"""),6000)</f>
        <v>6000</v>
      </c>
      <c r="J610" s="29">
        <f ca="1">IFERROR(__xludf.DUMMYFUNCTION("""COMPUTED_VALUE"""),3)</f>
        <v>3</v>
      </c>
      <c r="K610" s="29">
        <f ca="1">IFERROR(__xludf.DUMMYFUNCTION("""COMPUTED_VALUE"""),2000)</f>
        <v>2000</v>
      </c>
      <c r="L610" s="29">
        <f ca="1">IFERROR(__xludf.DUMMYFUNCTION("""COMPUTED_VALUE"""),1)</f>
        <v>1</v>
      </c>
      <c r="M610" s="29">
        <f ca="1">IFERROR(__xludf.DUMMYFUNCTION("""COMPUTED_VALUE"""),0)</f>
        <v>0</v>
      </c>
      <c r="N610" s="29">
        <f ca="1">IFERROR(__xludf.DUMMYFUNCTION("""COMPUTED_VALUE"""),0)</f>
        <v>0</v>
      </c>
    </row>
    <row r="611" spans="2:14" ht="12.5">
      <c r="B611" s="2" t="str">
        <f ca="1">IFERROR(__xludf.DUMMYFUNCTION("""COMPUTED_VALUE"""),"姫路西高")</f>
        <v>姫路西高</v>
      </c>
      <c r="C611" s="2" t="str">
        <f ca="1">IFERROR(__xludf.DUMMYFUNCTION("""COMPUTED_VALUE"""),"#N/A")</f>
        <v>#N/A</v>
      </c>
      <c r="D611" s="2">
        <f ca="1">IFERROR(__xludf.DUMMYFUNCTION("""COMPUTED_VALUE"""),5000)</f>
        <v>5000</v>
      </c>
      <c r="E611" s="29">
        <f ca="1">IFERROR(__xludf.DUMMYFUNCTION("""COMPUTED_VALUE"""),0)</f>
        <v>0</v>
      </c>
      <c r="F611" s="30">
        <f ca="1">IFERROR(__xludf.DUMMYFUNCTION("""COMPUTED_VALUE"""),0)</f>
        <v>0</v>
      </c>
      <c r="G611" s="29">
        <f ca="1">IFERROR(__xludf.DUMMYFUNCTION("""COMPUTED_VALUE"""),5000)</f>
        <v>5000</v>
      </c>
      <c r="H611" s="30">
        <f ca="1">IFERROR(__xludf.DUMMYFUNCTION("""COMPUTED_VALUE"""),2)</f>
        <v>2</v>
      </c>
      <c r="I611" s="29">
        <f ca="1">IFERROR(__xludf.DUMMYFUNCTION("""COMPUTED_VALUE"""),16000)</f>
        <v>16000</v>
      </c>
      <c r="J611" s="29">
        <f ca="1">IFERROR(__xludf.DUMMYFUNCTION("""COMPUTED_VALUE"""),8)</f>
        <v>8</v>
      </c>
      <c r="K611" s="29">
        <f ca="1">IFERROR(__xludf.DUMMYFUNCTION("""COMPUTED_VALUE"""),4000)</f>
        <v>4000</v>
      </c>
      <c r="L611" s="29">
        <f ca="1">IFERROR(__xludf.DUMMYFUNCTION("""COMPUTED_VALUE"""),2)</f>
        <v>2</v>
      </c>
      <c r="M611" s="29">
        <f ca="1">IFERROR(__xludf.DUMMYFUNCTION("""COMPUTED_VALUE"""),0)</f>
        <v>0</v>
      </c>
      <c r="N611" s="29">
        <f ca="1">IFERROR(__xludf.DUMMYFUNCTION("""COMPUTED_VALUE"""),0)</f>
        <v>0</v>
      </c>
    </row>
    <row r="612" spans="2:14" ht="12.5">
      <c r="B612" s="2" t="str">
        <f ca="1">IFERROR(__xludf.DUMMYFUNCTION("""COMPUTED_VALUE"""),"益田高")</f>
        <v>益田高</v>
      </c>
      <c r="C612" s="2" t="str">
        <f ca="1">IFERROR(__xludf.DUMMYFUNCTION("""COMPUTED_VALUE"""),"#N/A")</f>
        <v>#N/A</v>
      </c>
      <c r="D612" s="2">
        <f ca="1">IFERROR(__xludf.DUMMYFUNCTION("""COMPUTED_VALUE"""),2500)</f>
        <v>2500</v>
      </c>
      <c r="E612" s="29">
        <f ca="1">IFERROR(__xludf.DUMMYFUNCTION("""COMPUTED_VALUE"""),0)</f>
        <v>0</v>
      </c>
      <c r="F612" s="30">
        <f ca="1">IFERROR(__xludf.DUMMYFUNCTION("""COMPUTED_VALUE"""),0)</f>
        <v>0</v>
      </c>
      <c r="G612" s="29">
        <f ca="1">IFERROR(__xludf.DUMMYFUNCTION("""COMPUTED_VALUE"""),2500)</f>
        <v>2500</v>
      </c>
      <c r="H612" s="30">
        <f ca="1">IFERROR(__xludf.DUMMYFUNCTION("""COMPUTED_VALUE"""),1)</f>
        <v>1</v>
      </c>
      <c r="I612" s="29">
        <f ca="1">IFERROR(__xludf.DUMMYFUNCTION("""COMPUTED_VALUE"""),4000)</f>
        <v>4000</v>
      </c>
      <c r="J612" s="29">
        <f ca="1">IFERROR(__xludf.DUMMYFUNCTION("""COMPUTED_VALUE"""),2)</f>
        <v>2</v>
      </c>
      <c r="K612" s="29">
        <f ca="1">IFERROR(__xludf.DUMMYFUNCTION("""COMPUTED_VALUE"""),6000)</f>
        <v>6000</v>
      </c>
      <c r="L612" s="29">
        <f ca="1">IFERROR(__xludf.DUMMYFUNCTION("""COMPUTED_VALUE"""),3)</f>
        <v>3</v>
      </c>
      <c r="M612" s="29">
        <f ca="1">IFERROR(__xludf.DUMMYFUNCTION("""COMPUTED_VALUE"""),0)</f>
        <v>0</v>
      </c>
      <c r="N612" s="29">
        <f ca="1">IFERROR(__xludf.DUMMYFUNCTION("""COMPUTED_VALUE"""),0)</f>
        <v>0</v>
      </c>
    </row>
    <row r="613" spans="2:14" ht="12.5">
      <c r="B613" s="2" t="str">
        <f ca="1">IFERROR(__xludf.DUMMYFUNCTION("""COMPUTED_VALUE"""),"城ノ内中等教育")</f>
        <v>城ノ内中等教育</v>
      </c>
      <c r="C613" s="2" t="str">
        <f ca="1">IFERROR(__xludf.DUMMYFUNCTION("""COMPUTED_VALUE"""),"#N/A")</f>
        <v>#N/A</v>
      </c>
      <c r="D613" s="2">
        <f ca="1">IFERROR(__xludf.DUMMYFUNCTION("""COMPUTED_VALUE"""),5000)</f>
        <v>5000</v>
      </c>
      <c r="E613" s="29">
        <f ca="1">IFERROR(__xludf.DUMMYFUNCTION("""COMPUTED_VALUE"""),0)</f>
        <v>0</v>
      </c>
      <c r="F613" s="30">
        <f ca="1">IFERROR(__xludf.DUMMYFUNCTION("""COMPUTED_VALUE"""),0)</f>
        <v>0</v>
      </c>
      <c r="G613" s="29">
        <f ca="1">IFERROR(__xludf.DUMMYFUNCTION("""COMPUTED_VALUE"""),5000)</f>
        <v>5000</v>
      </c>
      <c r="H613" s="30">
        <f ca="1">IFERROR(__xludf.DUMMYFUNCTION("""COMPUTED_VALUE"""),2)</f>
        <v>2</v>
      </c>
      <c r="I613" s="29">
        <f ca="1">IFERROR(__xludf.DUMMYFUNCTION("""COMPUTED_VALUE"""),12000)</f>
        <v>12000</v>
      </c>
      <c r="J613" s="29">
        <f ca="1">IFERROR(__xludf.DUMMYFUNCTION("""COMPUTED_VALUE"""),6)</f>
        <v>6</v>
      </c>
      <c r="K613" s="29">
        <f ca="1">IFERROR(__xludf.DUMMYFUNCTION("""COMPUTED_VALUE"""),6000)</f>
        <v>6000</v>
      </c>
      <c r="L613" s="29">
        <f ca="1">IFERROR(__xludf.DUMMYFUNCTION("""COMPUTED_VALUE"""),3)</f>
        <v>3</v>
      </c>
      <c r="M613" s="29">
        <f ca="1">IFERROR(__xludf.DUMMYFUNCTION("""COMPUTED_VALUE"""),0)</f>
        <v>0</v>
      </c>
      <c r="N613" s="29">
        <f ca="1">IFERROR(__xludf.DUMMYFUNCTION("""COMPUTED_VALUE"""),0)</f>
        <v>0</v>
      </c>
    </row>
    <row r="614" spans="2:14" ht="12.5">
      <c r="B614" s="2" t="str">
        <f ca="1">IFERROR(__xludf.DUMMYFUNCTION("""COMPUTED_VALUE"""),"高松高")</f>
        <v>高松高</v>
      </c>
      <c r="C614" s="2" t="str">
        <f ca="1">IFERROR(__xludf.DUMMYFUNCTION("""COMPUTED_VALUE"""),"#N/A")</f>
        <v>#N/A</v>
      </c>
      <c r="D614" s="2">
        <f ca="1">IFERROR(__xludf.DUMMYFUNCTION("""COMPUTED_VALUE"""),2500)</f>
        <v>2500</v>
      </c>
      <c r="E614" s="29">
        <f ca="1">IFERROR(__xludf.DUMMYFUNCTION("""COMPUTED_VALUE"""),0)</f>
        <v>0</v>
      </c>
      <c r="F614" s="30">
        <f ca="1">IFERROR(__xludf.DUMMYFUNCTION("""COMPUTED_VALUE"""),0)</f>
        <v>0</v>
      </c>
      <c r="G614" s="29">
        <f ca="1">IFERROR(__xludf.DUMMYFUNCTION("""COMPUTED_VALUE"""),2500)</f>
        <v>2500</v>
      </c>
      <c r="H614" s="30">
        <f ca="1">IFERROR(__xludf.DUMMYFUNCTION("""COMPUTED_VALUE"""),1)</f>
        <v>1</v>
      </c>
      <c r="I614" s="29">
        <f ca="1">IFERROR(__xludf.DUMMYFUNCTION("""COMPUTED_VALUE"""),16000)</f>
        <v>16000</v>
      </c>
      <c r="J614" s="29">
        <f ca="1">IFERROR(__xludf.DUMMYFUNCTION("""COMPUTED_VALUE"""),8)</f>
        <v>8</v>
      </c>
      <c r="K614" s="29">
        <f ca="1">IFERROR(__xludf.DUMMYFUNCTION("""COMPUTED_VALUE"""),6000)</f>
        <v>6000</v>
      </c>
      <c r="L614" s="29">
        <f ca="1">IFERROR(__xludf.DUMMYFUNCTION("""COMPUTED_VALUE"""),3)</f>
        <v>3</v>
      </c>
      <c r="M614" s="29">
        <f ca="1">IFERROR(__xludf.DUMMYFUNCTION("""COMPUTED_VALUE"""),0)</f>
        <v>0</v>
      </c>
      <c r="N614" s="29">
        <f ca="1">IFERROR(__xludf.DUMMYFUNCTION("""COMPUTED_VALUE"""),0)</f>
        <v>0</v>
      </c>
    </row>
    <row r="615" spans="2:14" ht="12.5">
      <c r="B615" s="2" t="str">
        <f ca="1">IFERROR(__xludf.DUMMYFUNCTION("""COMPUTED_VALUE"""),"香椎高")</f>
        <v>香椎高</v>
      </c>
      <c r="C615" s="2" t="str">
        <f ca="1">IFERROR(__xludf.DUMMYFUNCTION("""COMPUTED_VALUE"""),"#N/A")</f>
        <v>#N/A</v>
      </c>
      <c r="D615" s="2">
        <f ca="1">IFERROR(__xludf.DUMMYFUNCTION("""COMPUTED_VALUE"""),7500)</f>
        <v>7500</v>
      </c>
      <c r="E615" s="29">
        <f ca="1">IFERROR(__xludf.DUMMYFUNCTION("""COMPUTED_VALUE"""),0)</f>
        <v>0</v>
      </c>
      <c r="F615" s="30">
        <f ca="1">IFERROR(__xludf.DUMMYFUNCTION("""COMPUTED_VALUE"""),0)</f>
        <v>0</v>
      </c>
      <c r="G615" s="29">
        <f ca="1">IFERROR(__xludf.DUMMYFUNCTION("""COMPUTED_VALUE"""),7500)</f>
        <v>7500</v>
      </c>
      <c r="H615" s="30">
        <f ca="1">IFERROR(__xludf.DUMMYFUNCTION("""COMPUTED_VALUE"""),3)</f>
        <v>3</v>
      </c>
      <c r="I615" s="29">
        <f ca="1">IFERROR(__xludf.DUMMYFUNCTION("""COMPUTED_VALUE"""),6000)</f>
        <v>6000</v>
      </c>
      <c r="J615" s="29">
        <f ca="1">IFERROR(__xludf.DUMMYFUNCTION("""COMPUTED_VALUE"""),3)</f>
        <v>3</v>
      </c>
      <c r="K615" s="29">
        <f ca="1">IFERROR(__xludf.DUMMYFUNCTION("""COMPUTED_VALUE"""),2000)</f>
        <v>2000</v>
      </c>
      <c r="L615" s="29">
        <f ca="1">IFERROR(__xludf.DUMMYFUNCTION("""COMPUTED_VALUE"""),1)</f>
        <v>1</v>
      </c>
      <c r="M615" s="29">
        <f ca="1">IFERROR(__xludf.DUMMYFUNCTION("""COMPUTED_VALUE"""),0)</f>
        <v>0</v>
      </c>
      <c r="N615" s="29">
        <f ca="1">IFERROR(__xludf.DUMMYFUNCTION("""COMPUTED_VALUE"""),0)</f>
        <v>0</v>
      </c>
    </row>
    <row r="616" spans="2:14" ht="12.5">
      <c r="B616" s="2" t="str">
        <f ca="1">IFERROR(__xludf.DUMMYFUNCTION("""COMPUTED_VALUE"""),"熊本学園大付高")</f>
        <v>熊本学園大付高</v>
      </c>
      <c r="C616" s="2" t="str">
        <f ca="1">IFERROR(__xludf.DUMMYFUNCTION("""COMPUTED_VALUE"""),"#N/A")</f>
        <v>#N/A</v>
      </c>
      <c r="D616" s="2">
        <f ca="1">IFERROR(__xludf.DUMMYFUNCTION("""COMPUTED_VALUE"""),2500)</f>
        <v>2500</v>
      </c>
      <c r="E616" s="29">
        <f ca="1">IFERROR(__xludf.DUMMYFUNCTION("""COMPUTED_VALUE"""),0)</f>
        <v>0</v>
      </c>
      <c r="F616" s="30">
        <f ca="1">IFERROR(__xludf.DUMMYFUNCTION("""COMPUTED_VALUE"""),0)</f>
        <v>0</v>
      </c>
      <c r="G616" s="29">
        <f ca="1">IFERROR(__xludf.DUMMYFUNCTION("""COMPUTED_VALUE"""),2500)</f>
        <v>2500</v>
      </c>
      <c r="H616" s="30">
        <f ca="1">IFERROR(__xludf.DUMMYFUNCTION("""COMPUTED_VALUE"""),1)</f>
        <v>1</v>
      </c>
      <c r="I616" s="29">
        <f ca="1">IFERROR(__xludf.DUMMYFUNCTION("""COMPUTED_VALUE"""),6000)</f>
        <v>6000</v>
      </c>
      <c r="J616" s="29">
        <f ca="1">IFERROR(__xludf.DUMMYFUNCTION("""COMPUTED_VALUE"""),3)</f>
        <v>3</v>
      </c>
      <c r="K616" s="29">
        <f ca="1">IFERROR(__xludf.DUMMYFUNCTION("""COMPUTED_VALUE"""),10000)</f>
        <v>10000</v>
      </c>
      <c r="L616" s="29">
        <f ca="1">IFERROR(__xludf.DUMMYFUNCTION("""COMPUTED_VALUE"""),5)</f>
        <v>5</v>
      </c>
      <c r="M616" s="29">
        <f ca="1">IFERROR(__xludf.DUMMYFUNCTION("""COMPUTED_VALUE"""),0)</f>
        <v>0</v>
      </c>
      <c r="N616" s="29">
        <f ca="1">IFERROR(__xludf.DUMMYFUNCTION("""COMPUTED_VALUE"""),0)</f>
        <v>0</v>
      </c>
    </row>
    <row r="617" spans="2:14" ht="12.5">
      <c r="B617" s="2" t="str">
        <f ca="1">IFERROR(__xludf.DUMMYFUNCTION("""COMPUTED_VALUE"""),"奈良高")</f>
        <v>奈良高</v>
      </c>
      <c r="C617" s="2" t="str">
        <f ca="1">IFERROR(__xludf.DUMMYFUNCTION("""COMPUTED_VALUE"""),"#N/A")</f>
        <v>#N/A</v>
      </c>
      <c r="D617" s="2">
        <f ca="1">IFERROR(__xludf.DUMMYFUNCTION("""COMPUTED_VALUE"""),7500)</f>
        <v>7500</v>
      </c>
      <c r="E617" s="29">
        <f ca="1">IFERROR(__xludf.DUMMYFUNCTION("""COMPUTED_VALUE"""),0)</f>
        <v>0</v>
      </c>
      <c r="F617" s="30">
        <f ca="1">IFERROR(__xludf.DUMMYFUNCTION("""COMPUTED_VALUE"""),0)</f>
        <v>0</v>
      </c>
      <c r="G617" s="29">
        <f ca="1">IFERROR(__xludf.DUMMYFUNCTION("""COMPUTED_VALUE"""),7500)</f>
        <v>7500</v>
      </c>
      <c r="H617" s="30">
        <f ca="1">IFERROR(__xludf.DUMMYFUNCTION("""COMPUTED_VALUE"""),3)</f>
        <v>3</v>
      </c>
      <c r="I617" s="29">
        <f ca="1">IFERROR(__xludf.DUMMYFUNCTION("""COMPUTED_VALUE"""),16000)</f>
        <v>16000</v>
      </c>
      <c r="J617" s="29">
        <f ca="1">IFERROR(__xludf.DUMMYFUNCTION("""COMPUTED_VALUE"""),8)</f>
        <v>8</v>
      </c>
      <c r="K617" s="29">
        <f ca="1">IFERROR(__xludf.DUMMYFUNCTION("""COMPUTED_VALUE"""),0)</f>
        <v>0</v>
      </c>
      <c r="L617" s="29">
        <f ca="1">IFERROR(__xludf.DUMMYFUNCTION("""COMPUTED_VALUE"""),0)</f>
        <v>0</v>
      </c>
      <c r="M617" s="29">
        <f ca="1">IFERROR(__xludf.DUMMYFUNCTION("""COMPUTED_VALUE"""),0)</f>
        <v>0</v>
      </c>
      <c r="N617" s="29">
        <f ca="1">IFERROR(__xludf.DUMMYFUNCTION("""COMPUTED_VALUE"""),0)</f>
        <v>0</v>
      </c>
    </row>
    <row r="618" spans="2:14" ht="12.5">
      <c r="B618" s="2" t="str">
        <f ca="1">IFERROR(__xludf.DUMMYFUNCTION("""COMPUTED_VALUE"""),"一関第一高")</f>
        <v>一関第一高</v>
      </c>
      <c r="C618" s="2" t="str">
        <f ca="1">IFERROR(__xludf.DUMMYFUNCTION("""COMPUTED_VALUE"""),"#N/A")</f>
        <v>#N/A</v>
      </c>
      <c r="D618" s="2">
        <f ca="1">IFERROR(__xludf.DUMMYFUNCTION("""COMPUTED_VALUE"""),2500)</f>
        <v>2500</v>
      </c>
      <c r="E618" s="29">
        <f ca="1">IFERROR(__xludf.DUMMYFUNCTION("""COMPUTED_VALUE"""),0)</f>
        <v>0</v>
      </c>
      <c r="F618" s="30">
        <f ca="1">IFERROR(__xludf.DUMMYFUNCTION("""COMPUTED_VALUE"""),0)</f>
        <v>0</v>
      </c>
      <c r="G618" s="29">
        <f ca="1">IFERROR(__xludf.DUMMYFUNCTION("""COMPUTED_VALUE"""),2500)</f>
        <v>2500</v>
      </c>
      <c r="H618" s="30">
        <f ca="1">IFERROR(__xludf.DUMMYFUNCTION("""COMPUTED_VALUE"""),1)</f>
        <v>1</v>
      </c>
      <c r="I618" s="29">
        <f ca="1">IFERROR(__xludf.DUMMYFUNCTION("""COMPUTED_VALUE"""),4000)</f>
        <v>4000</v>
      </c>
      <c r="J618" s="29">
        <f ca="1">IFERROR(__xludf.DUMMYFUNCTION("""COMPUTED_VALUE"""),2)</f>
        <v>2</v>
      </c>
      <c r="K618" s="29">
        <f ca="1">IFERROR(__xludf.DUMMYFUNCTION("""COMPUTED_VALUE"""),10000)</f>
        <v>10000</v>
      </c>
      <c r="L618" s="29">
        <f ca="1">IFERROR(__xludf.DUMMYFUNCTION("""COMPUTED_VALUE"""),5)</f>
        <v>5</v>
      </c>
      <c r="M618" s="29">
        <f ca="1">IFERROR(__xludf.DUMMYFUNCTION("""COMPUTED_VALUE"""),0)</f>
        <v>0</v>
      </c>
      <c r="N618" s="29">
        <f ca="1">IFERROR(__xludf.DUMMYFUNCTION("""COMPUTED_VALUE"""),0)</f>
        <v>0</v>
      </c>
    </row>
    <row r="619" spans="2:14" ht="12.5">
      <c r="B619" s="2" t="str">
        <f ca="1">IFERROR(__xludf.DUMMYFUNCTION("""COMPUTED_VALUE"""),"安積黎明高")</f>
        <v>安積黎明高</v>
      </c>
      <c r="C619" s="2" t="str">
        <f ca="1">IFERROR(__xludf.DUMMYFUNCTION("""COMPUTED_VALUE"""),"#N/A")</f>
        <v>#N/A</v>
      </c>
      <c r="D619" s="2">
        <f ca="1">IFERROR(__xludf.DUMMYFUNCTION("""COMPUTED_VALUE"""),5000)</f>
        <v>5000</v>
      </c>
      <c r="E619" s="29">
        <f ca="1">IFERROR(__xludf.DUMMYFUNCTION("""COMPUTED_VALUE"""),0)</f>
        <v>0</v>
      </c>
      <c r="F619" s="30">
        <f ca="1">IFERROR(__xludf.DUMMYFUNCTION("""COMPUTED_VALUE"""),0)</f>
        <v>0</v>
      </c>
      <c r="G619" s="29">
        <f ca="1">IFERROR(__xludf.DUMMYFUNCTION("""COMPUTED_VALUE"""),5000)</f>
        <v>5000</v>
      </c>
      <c r="H619" s="30">
        <f ca="1">IFERROR(__xludf.DUMMYFUNCTION("""COMPUTED_VALUE"""),2)</f>
        <v>2</v>
      </c>
      <c r="I619" s="29">
        <f ca="1">IFERROR(__xludf.DUMMYFUNCTION("""COMPUTED_VALUE"""),4000)</f>
        <v>4000</v>
      </c>
      <c r="J619" s="29">
        <f ca="1">IFERROR(__xludf.DUMMYFUNCTION("""COMPUTED_VALUE"""),2)</f>
        <v>2</v>
      </c>
      <c r="K619" s="29">
        <f ca="1">IFERROR(__xludf.DUMMYFUNCTION("""COMPUTED_VALUE"""),18000)</f>
        <v>18000</v>
      </c>
      <c r="L619" s="29">
        <f ca="1">IFERROR(__xludf.DUMMYFUNCTION("""COMPUTED_VALUE"""),9)</f>
        <v>9</v>
      </c>
      <c r="M619" s="29">
        <f ca="1">IFERROR(__xludf.DUMMYFUNCTION("""COMPUTED_VALUE"""),0)</f>
        <v>0</v>
      </c>
      <c r="N619" s="29">
        <f ca="1">IFERROR(__xludf.DUMMYFUNCTION("""COMPUTED_VALUE"""),0)</f>
        <v>0</v>
      </c>
    </row>
    <row r="620" spans="2:14" ht="12.5">
      <c r="B620" s="2" t="str">
        <f ca="1">IFERROR(__xludf.DUMMYFUNCTION("""COMPUTED_VALUE"""),"淑徳与野高")</f>
        <v>淑徳与野高</v>
      </c>
      <c r="C620" s="2" t="str">
        <f ca="1">IFERROR(__xludf.DUMMYFUNCTION("""COMPUTED_VALUE"""),"#N/A")</f>
        <v>#N/A</v>
      </c>
      <c r="D620" s="2">
        <f ca="1">IFERROR(__xludf.DUMMYFUNCTION("""COMPUTED_VALUE"""),2500)</f>
        <v>2500</v>
      </c>
      <c r="E620" s="29">
        <f ca="1">IFERROR(__xludf.DUMMYFUNCTION("""COMPUTED_VALUE"""),0)</f>
        <v>0</v>
      </c>
      <c r="F620" s="30">
        <f ca="1">IFERROR(__xludf.DUMMYFUNCTION("""COMPUTED_VALUE"""),0)</f>
        <v>0</v>
      </c>
      <c r="G620" s="29">
        <f ca="1">IFERROR(__xludf.DUMMYFUNCTION("""COMPUTED_VALUE"""),2500)</f>
        <v>2500</v>
      </c>
      <c r="H620" s="30">
        <f ca="1">IFERROR(__xludf.DUMMYFUNCTION("""COMPUTED_VALUE"""),1)</f>
        <v>1</v>
      </c>
      <c r="I620" s="29">
        <f ca="1">IFERROR(__xludf.DUMMYFUNCTION("""COMPUTED_VALUE"""),8000)</f>
        <v>8000</v>
      </c>
      <c r="J620" s="29">
        <f ca="1">IFERROR(__xludf.DUMMYFUNCTION("""COMPUTED_VALUE"""),4)</f>
        <v>4</v>
      </c>
      <c r="K620" s="29">
        <f ca="1">IFERROR(__xludf.DUMMYFUNCTION("""COMPUTED_VALUE"""),8000)</f>
        <v>8000</v>
      </c>
      <c r="L620" s="29">
        <f ca="1">IFERROR(__xludf.DUMMYFUNCTION("""COMPUTED_VALUE"""),4)</f>
        <v>4</v>
      </c>
      <c r="M620" s="29">
        <f ca="1">IFERROR(__xludf.DUMMYFUNCTION("""COMPUTED_VALUE"""),0)</f>
        <v>0</v>
      </c>
      <c r="N620" s="29">
        <f ca="1">IFERROR(__xludf.DUMMYFUNCTION("""COMPUTED_VALUE"""),0)</f>
        <v>0</v>
      </c>
    </row>
    <row r="621" spans="2:14" ht="12.5">
      <c r="B621" s="2" t="str">
        <f ca="1">IFERROR(__xludf.DUMMYFUNCTION("""COMPUTED_VALUE"""),"城北学園高")</f>
        <v>城北学園高</v>
      </c>
      <c r="C621" s="2" t="str">
        <f ca="1">IFERROR(__xludf.DUMMYFUNCTION("""COMPUTED_VALUE"""),"#N/A")</f>
        <v>#N/A</v>
      </c>
      <c r="D621" s="2">
        <f ca="1">IFERROR(__xludf.DUMMYFUNCTION("""COMPUTED_VALUE"""),7500)</f>
        <v>7500</v>
      </c>
      <c r="E621" s="29">
        <f ca="1">IFERROR(__xludf.DUMMYFUNCTION("""COMPUTED_VALUE"""),0)</f>
        <v>0</v>
      </c>
      <c r="F621" s="30">
        <f ca="1">IFERROR(__xludf.DUMMYFUNCTION("""COMPUTED_VALUE"""),0)</f>
        <v>0</v>
      </c>
      <c r="G621" s="29">
        <f ca="1">IFERROR(__xludf.DUMMYFUNCTION("""COMPUTED_VALUE"""),7500)</f>
        <v>7500</v>
      </c>
      <c r="H621" s="30">
        <f ca="1">IFERROR(__xludf.DUMMYFUNCTION("""COMPUTED_VALUE"""),3)</f>
        <v>3</v>
      </c>
      <c r="I621" s="29">
        <f ca="1">IFERROR(__xludf.DUMMYFUNCTION("""COMPUTED_VALUE"""),4000)</f>
        <v>4000</v>
      </c>
      <c r="J621" s="29">
        <f ca="1">IFERROR(__xludf.DUMMYFUNCTION("""COMPUTED_VALUE"""),2)</f>
        <v>2</v>
      </c>
      <c r="K621" s="29">
        <f ca="1">IFERROR(__xludf.DUMMYFUNCTION("""COMPUTED_VALUE"""),2000)</f>
        <v>2000</v>
      </c>
      <c r="L621" s="29">
        <f ca="1">IFERROR(__xludf.DUMMYFUNCTION("""COMPUTED_VALUE"""),1)</f>
        <v>1</v>
      </c>
      <c r="M621" s="29">
        <f ca="1">IFERROR(__xludf.DUMMYFUNCTION("""COMPUTED_VALUE"""),0)</f>
        <v>0</v>
      </c>
      <c r="N621" s="29">
        <f ca="1">IFERROR(__xludf.DUMMYFUNCTION("""COMPUTED_VALUE"""),0)</f>
        <v>0</v>
      </c>
    </row>
    <row r="622" spans="2:14" ht="12.5">
      <c r="B622" s="2" t="str">
        <f ca="1">IFERROR(__xludf.DUMMYFUNCTION("""COMPUTED_VALUE"""),"巣鴨高")</f>
        <v>巣鴨高</v>
      </c>
      <c r="C622" s="2" t="str">
        <f ca="1">IFERROR(__xludf.DUMMYFUNCTION("""COMPUTED_VALUE"""),"#N/A")</f>
        <v>#N/A</v>
      </c>
      <c r="D622" s="2">
        <f ca="1">IFERROR(__xludf.DUMMYFUNCTION("""COMPUTED_VALUE"""),2500)</f>
        <v>2500</v>
      </c>
      <c r="E622" s="29">
        <f ca="1">IFERROR(__xludf.DUMMYFUNCTION("""COMPUTED_VALUE"""),0)</f>
        <v>0</v>
      </c>
      <c r="F622" s="30">
        <f ca="1">IFERROR(__xludf.DUMMYFUNCTION("""COMPUTED_VALUE"""),0)</f>
        <v>0</v>
      </c>
      <c r="G622" s="29">
        <f ca="1">IFERROR(__xludf.DUMMYFUNCTION("""COMPUTED_VALUE"""),2500)</f>
        <v>2500</v>
      </c>
      <c r="H622" s="30">
        <f ca="1">IFERROR(__xludf.DUMMYFUNCTION("""COMPUTED_VALUE"""),1)</f>
        <v>1</v>
      </c>
      <c r="I622" s="29">
        <f ca="1">IFERROR(__xludf.DUMMYFUNCTION("""COMPUTED_VALUE"""),0)</f>
        <v>0</v>
      </c>
      <c r="J622" s="29">
        <f ca="1">IFERROR(__xludf.DUMMYFUNCTION("""COMPUTED_VALUE"""),0)</f>
        <v>0</v>
      </c>
      <c r="K622" s="29">
        <f ca="1">IFERROR(__xludf.DUMMYFUNCTION("""COMPUTED_VALUE"""),0)</f>
        <v>0</v>
      </c>
      <c r="L622" s="29">
        <f ca="1">IFERROR(__xludf.DUMMYFUNCTION("""COMPUTED_VALUE"""),0)</f>
        <v>0</v>
      </c>
      <c r="M622" s="29">
        <f ca="1">IFERROR(__xludf.DUMMYFUNCTION("""COMPUTED_VALUE"""),0)</f>
        <v>0</v>
      </c>
      <c r="N622" s="29">
        <f ca="1">IFERROR(__xludf.DUMMYFUNCTION("""COMPUTED_VALUE"""),0)</f>
        <v>0</v>
      </c>
    </row>
    <row r="623" spans="2:14" ht="12.5">
      <c r="B623" s="2" t="str">
        <f ca="1">IFERROR(__xludf.DUMMYFUNCTION("""COMPUTED_VALUE"""),"豊多摩高")</f>
        <v>豊多摩高</v>
      </c>
      <c r="C623" s="2" t="str">
        <f ca="1">IFERROR(__xludf.DUMMYFUNCTION("""COMPUTED_VALUE"""),"#N/A")</f>
        <v>#N/A</v>
      </c>
      <c r="D623" s="2">
        <f ca="1">IFERROR(__xludf.DUMMYFUNCTION("""COMPUTED_VALUE"""),2500)</f>
        <v>2500</v>
      </c>
      <c r="E623" s="29">
        <f ca="1">IFERROR(__xludf.DUMMYFUNCTION("""COMPUTED_VALUE"""),0)</f>
        <v>0</v>
      </c>
      <c r="F623" s="30">
        <f ca="1">IFERROR(__xludf.DUMMYFUNCTION("""COMPUTED_VALUE"""),0)</f>
        <v>0</v>
      </c>
      <c r="G623" s="29">
        <f ca="1">IFERROR(__xludf.DUMMYFUNCTION("""COMPUTED_VALUE"""),2500)</f>
        <v>2500</v>
      </c>
      <c r="H623" s="30">
        <f ca="1">IFERROR(__xludf.DUMMYFUNCTION("""COMPUTED_VALUE"""),1)</f>
        <v>1</v>
      </c>
      <c r="I623" s="29">
        <f ca="1">IFERROR(__xludf.DUMMYFUNCTION("""COMPUTED_VALUE"""),2000)</f>
        <v>2000</v>
      </c>
      <c r="J623" s="29">
        <f ca="1">IFERROR(__xludf.DUMMYFUNCTION("""COMPUTED_VALUE"""),1)</f>
        <v>1</v>
      </c>
      <c r="K623" s="29">
        <f ca="1">IFERROR(__xludf.DUMMYFUNCTION("""COMPUTED_VALUE"""),2000)</f>
        <v>2000</v>
      </c>
      <c r="L623" s="29">
        <f ca="1">IFERROR(__xludf.DUMMYFUNCTION("""COMPUTED_VALUE"""),1)</f>
        <v>1</v>
      </c>
      <c r="M623" s="29">
        <f ca="1">IFERROR(__xludf.DUMMYFUNCTION("""COMPUTED_VALUE"""),0)</f>
        <v>0</v>
      </c>
      <c r="N623" s="29">
        <f ca="1">IFERROR(__xludf.DUMMYFUNCTION("""COMPUTED_VALUE"""),0)</f>
        <v>0</v>
      </c>
    </row>
    <row r="624" spans="2:14" ht="12.5">
      <c r="B624" s="2" t="str">
        <f ca="1">IFERROR(__xludf.DUMMYFUNCTION("""COMPUTED_VALUE"""),"桐蔭学園中等教育")</f>
        <v>桐蔭学園中等教育</v>
      </c>
      <c r="C624" s="2" t="str">
        <f ca="1">IFERROR(__xludf.DUMMYFUNCTION("""COMPUTED_VALUE"""),"#N/A")</f>
        <v>#N/A</v>
      </c>
      <c r="D624" s="2">
        <f ca="1">IFERROR(__xludf.DUMMYFUNCTION("""COMPUTED_VALUE"""),2500)</f>
        <v>2500</v>
      </c>
      <c r="E624" s="29">
        <f ca="1">IFERROR(__xludf.DUMMYFUNCTION("""COMPUTED_VALUE"""),0)</f>
        <v>0</v>
      </c>
      <c r="F624" s="30">
        <f ca="1">IFERROR(__xludf.DUMMYFUNCTION("""COMPUTED_VALUE"""),0)</f>
        <v>0</v>
      </c>
      <c r="G624" s="29">
        <f ca="1">IFERROR(__xludf.DUMMYFUNCTION("""COMPUTED_VALUE"""),2500)</f>
        <v>2500</v>
      </c>
      <c r="H624" s="30">
        <f ca="1">IFERROR(__xludf.DUMMYFUNCTION("""COMPUTED_VALUE"""),1)</f>
        <v>1</v>
      </c>
      <c r="I624" s="29">
        <f ca="1">IFERROR(__xludf.DUMMYFUNCTION("""COMPUTED_VALUE"""),0)</f>
        <v>0</v>
      </c>
      <c r="J624" s="29">
        <f ca="1">IFERROR(__xludf.DUMMYFUNCTION("""COMPUTED_VALUE"""),0)</f>
        <v>0</v>
      </c>
      <c r="K624" s="29">
        <f ca="1">IFERROR(__xludf.DUMMYFUNCTION("""COMPUTED_VALUE"""),0)</f>
        <v>0</v>
      </c>
      <c r="L624" s="29">
        <f ca="1">IFERROR(__xludf.DUMMYFUNCTION("""COMPUTED_VALUE"""),0)</f>
        <v>0</v>
      </c>
      <c r="M624" s="29">
        <f ca="1">IFERROR(__xludf.DUMMYFUNCTION("""COMPUTED_VALUE"""),0)</f>
        <v>0</v>
      </c>
      <c r="N624" s="29">
        <f ca="1">IFERROR(__xludf.DUMMYFUNCTION("""COMPUTED_VALUE"""),0)</f>
        <v>0</v>
      </c>
    </row>
    <row r="625" spans="2:14" ht="12.5">
      <c r="B625" s="2" t="str">
        <f ca="1">IFERROR(__xludf.DUMMYFUNCTION("""COMPUTED_VALUE"""),"湘南高")</f>
        <v>湘南高</v>
      </c>
      <c r="C625" s="2" t="str">
        <f ca="1">IFERROR(__xludf.DUMMYFUNCTION("""COMPUTED_VALUE"""),"#N/A")</f>
        <v>#N/A</v>
      </c>
      <c r="D625" s="2">
        <f ca="1">IFERROR(__xludf.DUMMYFUNCTION("""COMPUTED_VALUE"""),2500)</f>
        <v>2500</v>
      </c>
      <c r="E625" s="29">
        <f ca="1">IFERROR(__xludf.DUMMYFUNCTION("""COMPUTED_VALUE"""),0)</f>
        <v>0</v>
      </c>
      <c r="F625" s="30">
        <f ca="1">IFERROR(__xludf.DUMMYFUNCTION("""COMPUTED_VALUE"""),0)</f>
        <v>0</v>
      </c>
      <c r="G625" s="29">
        <f ca="1">IFERROR(__xludf.DUMMYFUNCTION("""COMPUTED_VALUE"""),2500)</f>
        <v>2500</v>
      </c>
      <c r="H625" s="30">
        <f ca="1">IFERROR(__xludf.DUMMYFUNCTION("""COMPUTED_VALUE"""),1)</f>
        <v>1</v>
      </c>
      <c r="I625" s="29">
        <f ca="1">IFERROR(__xludf.DUMMYFUNCTION("""COMPUTED_VALUE"""),0)</f>
        <v>0</v>
      </c>
      <c r="J625" s="29">
        <f ca="1">IFERROR(__xludf.DUMMYFUNCTION("""COMPUTED_VALUE"""),0)</f>
        <v>0</v>
      </c>
      <c r="K625" s="29">
        <f ca="1">IFERROR(__xludf.DUMMYFUNCTION("""COMPUTED_VALUE"""),0)</f>
        <v>0</v>
      </c>
      <c r="L625" s="29">
        <f ca="1">IFERROR(__xludf.DUMMYFUNCTION("""COMPUTED_VALUE"""),0)</f>
        <v>0</v>
      </c>
      <c r="M625" s="29">
        <f ca="1">IFERROR(__xludf.DUMMYFUNCTION("""COMPUTED_VALUE"""),0)</f>
        <v>0</v>
      </c>
      <c r="N625" s="29">
        <f ca="1">IFERROR(__xludf.DUMMYFUNCTION("""COMPUTED_VALUE"""),0)</f>
        <v>0</v>
      </c>
    </row>
    <row r="626" spans="2:14" ht="12.5">
      <c r="B626" s="2" t="str">
        <f ca="1">IFERROR(__xludf.DUMMYFUNCTION("""COMPUTED_VALUE"""),"富山東高")</f>
        <v>富山東高</v>
      </c>
      <c r="C626" s="2" t="str">
        <f ca="1">IFERROR(__xludf.DUMMYFUNCTION("""COMPUTED_VALUE"""),"#N/A")</f>
        <v>#N/A</v>
      </c>
      <c r="D626" s="2">
        <f ca="1">IFERROR(__xludf.DUMMYFUNCTION("""COMPUTED_VALUE"""),2500)</f>
        <v>2500</v>
      </c>
      <c r="E626" s="29">
        <f ca="1">IFERROR(__xludf.DUMMYFUNCTION("""COMPUTED_VALUE"""),0)</f>
        <v>0</v>
      </c>
      <c r="F626" s="30">
        <f ca="1">IFERROR(__xludf.DUMMYFUNCTION("""COMPUTED_VALUE"""),0)</f>
        <v>0</v>
      </c>
      <c r="G626" s="29">
        <f ca="1">IFERROR(__xludf.DUMMYFUNCTION("""COMPUTED_VALUE"""),2500)</f>
        <v>2500</v>
      </c>
      <c r="H626" s="30">
        <f ca="1">IFERROR(__xludf.DUMMYFUNCTION("""COMPUTED_VALUE"""),1)</f>
        <v>1</v>
      </c>
      <c r="I626" s="29">
        <f ca="1">IFERROR(__xludf.DUMMYFUNCTION("""COMPUTED_VALUE"""),0)</f>
        <v>0</v>
      </c>
      <c r="J626" s="29">
        <f ca="1">IFERROR(__xludf.DUMMYFUNCTION("""COMPUTED_VALUE"""),0)</f>
        <v>0</v>
      </c>
      <c r="K626" s="29">
        <f ca="1">IFERROR(__xludf.DUMMYFUNCTION("""COMPUTED_VALUE"""),0)</f>
        <v>0</v>
      </c>
      <c r="L626" s="29">
        <f ca="1">IFERROR(__xludf.DUMMYFUNCTION("""COMPUTED_VALUE"""),0)</f>
        <v>0</v>
      </c>
      <c r="M626" s="29">
        <f ca="1">IFERROR(__xludf.DUMMYFUNCTION("""COMPUTED_VALUE"""),0)</f>
        <v>0</v>
      </c>
      <c r="N626" s="29">
        <f ca="1">IFERROR(__xludf.DUMMYFUNCTION("""COMPUTED_VALUE"""),0)</f>
        <v>0</v>
      </c>
    </row>
    <row r="627" spans="2:14" ht="12.5">
      <c r="B627" s="2" t="str">
        <f ca="1">IFERROR(__xludf.DUMMYFUNCTION("""COMPUTED_VALUE"""),"敦賀高")</f>
        <v>敦賀高</v>
      </c>
      <c r="C627" s="2" t="str">
        <f ca="1">IFERROR(__xludf.DUMMYFUNCTION("""COMPUTED_VALUE"""),"#N/A")</f>
        <v>#N/A</v>
      </c>
      <c r="D627" s="2">
        <f ca="1">IFERROR(__xludf.DUMMYFUNCTION("""COMPUTED_VALUE"""),5000)</f>
        <v>5000</v>
      </c>
      <c r="E627" s="29">
        <f ca="1">IFERROR(__xludf.DUMMYFUNCTION("""COMPUTED_VALUE"""),0)</f>
        <v>0</v>
      </c>
      <c r="F627" s="30">
        <f ca="1">IFERROR(__xludf.DUMMYFUNCTION("""COMPUTED_VALUE"""),0)</f>
        <v>0</v>
      </c>
      <c r="G627" s="29">
        <f ca="1">IFERROR(__xludf.DUMMYFUNCTION("""COMPUTED_VALUE"""),5000)</f>
        <v>5000</v>
      </c>
      <c r="H627" s="30">
        <f ca="1">IFERROR(__xludf.DUMMYFUNCTION("""COMPUTED_VALUE"""),2)</f>
        <v>2</v>
      </c>
      <c r="I627" s="29">
        <f ca="1">IFERROR(__xludf.DUMMYFUNCTION("""COMPUTED_VALUE"""),0)</f>
        <v>0</v>
      </c>
      <c r="J627" s="29">
        <f ca="1">IFERROR(__xludf.DUMMYFUNCTION("""COMPUTED_VALUE"""),0)</f>
        <v>0</v>
      </c>
      <c r="K627" s="29">
        <f ca="1">IFERROR(__xludf.DUMMYFUNCTION("""COMPUTED_VALUE"""),2000)</f>
        <v>2000</v>
      </c>
      <c r="L627" s="29">
        <f ca="1">IFERROR(__xludf.DUMMYFUNCTION("""COMPUTED_VALUE"""),1)</f>
        <v>1</v>
      </c>
      <c r="M627" s="29">
        <f ca="1">IFERROR(__xludf.DUMMYFUNCTION("""COMPUTED_VALUE"""),0)</f>
        <v>0</v>
      </c>
      <c r="N627" s="29">
        <f ca="1">IFERROR(__xludf.DUMMYFUNCTION("""COMPUTED_VALUE"""),0)</f>
        <v>0</v>
      </c>
    </row>
    <row r="628" spans="2:14" ht="12.5">
      <c r="B628" s="2" t="str">
        <f ca="1">IFERROR(__xludf.DUMMYFUNCTION("""COMPUTED_VALUE"""),"飯田高")</f>
        <v>飯田高</v>
      </c>
      <c r="C628" s="2" t="str">
        <f ca="1">IFERROR(__xludf.DUMMYFUNCTION("""COMPUTED_VALUE"""),"#N/A")</f>
        <v>#N/A</v>
      </c>
      <c r="D628" s="2">
        <f ca="1">IFERROR(__xludf.DUMMYFUNCTION("""COMPUTED_VALUE"""),2500)</f>
        <v>2500</v>
      </c>
      <c r="E628" s="29">
        <f ca="1">IFERROR(__xludf.DUMMYFUNCTION("""COMPUTED_VALUE"""),0)</f>
        <v>0</v>
      </c>
      <c r="F628" s="30">
        <f ca="1">IFERROR(__xludf.DUMMYFUNCTION("""COMPUTED_VALUE"""),0)</f>
        <v>0</v>
      </c>
      <c r="G628" s="29">
        <f ca="1">IFERROR(__xludf.DUMMYFUNCTION("""COMPUTED_VALUE"""),2500)</f>
        <v>2500</v>
      </c>
      <c r="H628" s="30">
        <f ca="1">IFERROR(__xludf.DUMMYFUNCTION("""COMPUTED_VALUE"""),1)</f>
        <v>1</v>
      </c>
      <c r="I628" s="29">
        <f ca="1">IFERROR(__xludf.DUMMYFUNCTION("""COMPUTED_VALUE"""),10000)</f>
        <v>10000</v>
      </c>
      <c r="J628" s="29">
        <f ca="1">IFERROR(__xludf.DUMMYFUNCTION("""COMPUTED_VALUE"""),5)</f>
        <v>5</v>
      </c>
      <c r="K628" s="29">
        <f ca="1">IFERROR(__xludf.DUMMYFUNCTION("""COMPUTED_VALUE"""),14000)</f>
        <v>14000</v>
      </c>
      <c r="L628" s="29">
        <f ca="1">IFERROR(__xludf.DUMMYFUNCTION("""COMPUTED_VALUE"""),7)</f>
        <v>7</v>
      </c>
      <c r="M628" s="29">
        <f ca="1">IFERROR(__xludf.DUMMYFUNCTION("""COMPUTED_VALUE"""),0)</f>
        <v>0</v>
      </c>
      <c r="N628" s="29">
        <f ca="1">IFERROR(__xludf.DUMMYFUNCTION("""COMPUTED_VALUE"""),0)</f>
        <v>0</v>
      </c>
    </row>
    <row r="629" spans="2:14" ht="12.5">
      <c r="B629" s="2" t="str">
        <f ca="1">IFERROR(__xludf.DUMMYFUNCTION("""COMPUTED_VALUE"""),"鶯谷高")</f>
        <v>鶯谷高</v>
      </c>
      <c r="C629" s="2" t="str">
        <f ca="1">IFERROR(__xludf.DUMMYFUNCTION("""COMPUTED_VALUE"""),"#N/A")</f>
        <v>#N/A</v>
      </c>
      <c r="D629" s="2">
        <f ca="1">IFERROR(__xludf.DUMMYFUNCTION("""COMPUTED_VALUE"""),7500)</f>
        <v>7500</v>
      </c>
      <c r="E629" s="29">
        <f ca="1">IFERROR(__xludf.DUMMYFUNCTION("""COMPUTED_VALUE"""),0)</f>
        <v>0</v>
      </c>
      <c r="F629" s="30">
        <f ca="1">IFERROR(__xludf.DUMMYFUNCTION("""COMPUTED_VALUE"""),0)</f>
        <v>0</v>
      </c>
      <c r="G629" s="29">
        <f ca="1">IFERROR(__xludf.DUMMYFUNCTION("""COMPUTED_VALUE"""),7500)</f>
        <v>7500</v>
      </c>
      <c r="H629" s="30">
        <f ca="1">IFERROR(__xludf.DUMMYFUNCTION("""COMPUTED_VALUE"""),3)</f>
        <v>3</v>
      </c>
      <c r="I629" s="29">
        <f ca="1">IFERROR(__xludf.DUMMYFUNCTION("""COMPUTED_VALUE"""),6000)</f>
        <v>6000</v>
      </c>
      <c r="J629" s="29">
        <f ca="1">IFERROR(__xludf.DUMMYFUNCTION("""COMPUTED_VALUE"""),3)</f>
        <v>3</v>
      </c>
      <c r="K629" s="29">
        <f ca="1">IFERROR(__xludf.DUMMYFUNCTION("""COMPUTED_VALUE"""),6000)</f>
        <v>6000</v>
      </c>
      <c r="L629" s="29">
        <f ca="1">IFERROR(__xludf.DUMMYFUNCTION("""COMPUTED_VALUE"""),3)</f>
        <v>3</v>
      </c>
      <c r="M629" s="29">
        <f ca="1">IFERROR(__xludf.DUMMYFUNCTION("""COMPUTED_VALUE"""),0)</f>
        <v>0</v>
      </c>
      <c r="N629" s="29">
        <f ca="1">IFERROR(__xludf.DUMMYFUNCTION("""COMPUTED_VALUE"""),0)</f>
        <v>0</v>
      </c>
    </row>
    <row r="630" spans="2:14" ht="12.5">
      <c r="B630" s="2" t="str">
        <f ca="1">IFERROR(__xludf.DUMMYFUNCTION("""COMPUTED_VALUE"""),"静岡雙葉高")</f>
        <v>静岡雙葉高</v>
      </c>
      <c r="C630" s="2" t="str">
        <f ca="1">IFERROR(__xludf.DUMMYFUNCTION("""COMPUTED_VALUE"""),"#N/A")</f>
        <v>#N/A</v>
      </c>
      <c r="D630" s="2">
        <f ca="1">IFERROR(__xludf.DUMMYFUNCTION("""COMPUTED_VALUE"""),7500)</f>
        <v>7500</v>
      </c>
      <c r="E630" s="29">
        <f ca="1">IFERROR(__xludf.DUMMYFUNCTION("""COMPUTED_VALUE"""),0)</f>
        <v>0</v>
      </c>
      <c r="F630" s="30">
        <f ca="1">IFERROR(__xludf.DUMMYFUNCTION("""COMPUTED_VALUE"""),0)</f>
        <v>0</v>
      </c>
      <c r="G630" s="29">
        <f ca="1">IFERROR(__xludf.DUMMYFUNCTION("""COMPUTED_VALUE"""),7500)</f>
        <v>7500</v>
      </c>
      <c r="H630" s="30">
        <f ca="1">IFERROR(__xludf.DUMMYFUNCTION("""COMPUTED_VALUE"""),3)</f>
        <v>3</v>
      </c>
      <c r="I630" s="29">
        <f ca="1">IFERROR(__xludf.DUMMYFUNCTION("""COMPUTED_VALUE"""),2000)</f>
        <v>2000</v>
      </c>
      <c r="J630" s="29">
        <f ca="1">IFERROR(__xludf.DUMMYFUNCTION("""COMPUTED_VALUE"""),1)</f>
        <v>1</v>
      </c>
      <c r="K630" s="29">
        <f ca="1">IFERROR(__xludf.DUMMYFUNCTION("""COMPUTED_VALUE"""),4000)</f>
        <v>4000</v>
      </c>
      <c r="L630" s="29">
        <f ca="1">IFERROR(__xludf.DUMMYFUNCTION("""COMPUTED_VALUE"""),2)</f>
        <v>2</v>
      </c>
      <c r="M630" s="29">
        <f ca="1">IFERROR(__xludf.DUMMYFUNCTION("""COMPUTED_VALUE"""),0)</f>
        <v>0</v>
      </c>
      <c r="N630" s="29">
        <f ca="1">IFERROR(__xludf.DUMMYFUNCTION("""COMPUTED_VALUE"""),0)</f>
        <v>0</v>
      </c>
    </row>
    <row r="631" spans="2:14" ht="12.5">
      <c r="B631" s="2" t="str">
        <f ca="1">IFERROR(__xludf.DUMMYFUNCTION("""COMPUTED_VALUE"""),"愛知淑徳高")</f>
        <v>愛知淑徳高</v>
      </c>
      <c r="C631" s="2" t="str">
        <f ca="1">IFERROR(__xludf.DUMMYFUNCTION("""COMPUTED_VALUE"""),"#N/A")</f>
        <v>#N/A</v>
      </c>
      <c r="D631" s="2">
        <f ca="1">IFERROR(__xludf.DUMMYFUNCTION("""COMPUTED_VALUE"""),2500)</f>
        <v>2500</v>
      </c>
      <c r="E631" s="29">
        <f ca="1">IFERROR(__xludf.DUMMYFUNCTION("""COMPUTED_VALUE"""),0)</f>
        <v>0</v>
      </c>
      <c r="F631" s="30">
        <f ca="1">IFERROR(__xludf.DUMMYFUNCTION("""COMPUTED_VALUE"""),0)</f>
        <v>0</v>
      </c>
      <c r="G631" s="29">
        <f ca="1">IFERROR(__xludf.DUMMYFUNCTION("""COMPUTED_VALUE"""),2500)</f>
        <v>2500</v>
      </c>
      <c r="H631" s="30">
        <f ca="1">IFERROR(__xludf.DUMMYFUNCTION("""COMPUTED_VALUE"""),1)</f>
        <v>1</v>
      </c>
      <c r="I631" s="29">
        <f ca="1">IFERROR(__xludf.DUMMYFUNCTION("""COMPUTED_VALUE"""),0)</f>
        <v>0</v>
      </c>
      <c r="J631" s="29">
        <f ca="1">IFERROR(__xludf.DUMMYFUNCTION("""COMPUTED_VALUE"""),0)</f>
        <v>0</v>
      </c>
      <c r="K631" s="29">
        <f ca="1">IFERROR(__xludf.DUMMYFUNCTION("""COMPUTED_VALUE"""),2000)</f>
        <v>2000</v>
      </c>
      <c r="L631" s="29">
        <f ca="1">IFERROR(__xludf.DUMMYFUNCTION("""COMPUTED_VALUE"""),1)</f>
        <v>1</v>
      </c>
      <c r="M631" s="29">
        <f ca="1">IFERROR(__xludf.DUMMYFUNCTION("""COMPUTED_VALUE"""),0)</f>
        <v>0</v>
      </c>
      <c r="N631" s="29">
        <f ca="1">IFERROR(__xludf.DUMMYFUNCTION("""COMPUTED_VALUE"""),0)</f>
        <v>0</v>
      </c>
    </row>
    <row r="632" spans="2:14" ht="12.5">
      <c r="B632" s="2" t="str">
        <f ca="1">IFERROR(__xludf.DUMMYFUNCTION("""COMPUTED_VALUE"""),"比叡山高")</f>
        <v>比叡山高</v>
      </c>
      <c r="C632" s="2" t="str">
        <f ca="1">IFERROR(__xludf.DUMMYFUNCTION("""COMPUTED_VALUE"""),"#N/A")</f>
        <v>#N/A</v>
      </c>
      <c r="D632" s="2">
        <f ca="1">IFERROR(__xludf.DUMMYFUNCTION("""COMPUTED_VALUE"""),2500)</f>
        <v>2500</v>
      </c>
      <c r="E632" s="29">
        <f ca="1">IFERROR(__xludf.DUMMYFUNCTION("""COMPUTED_VALUE"""),0)</f>
        <v>0</v>
      </c>
      <c r="F632" s="30">
        <f ca="1">IFERROR(__xludf.DUMMYFUNCTION("""COMPUTED_VALUE"""),0)</f>
        <v>0</v>
      </c>
      <c r="G632" s="29">
        <f ca="1">IFERROR(__xludf.DUMMYFUNCTION("""COMPUTED_VALUE"""),2500)</f>
        <v>2500</v>
      </c>
      <c r="H632" s="30">
        <f ca="1">IFERROR(__xludf.DUMMYFUNCTION("""COMPUTED_VALUE"""),1)</f>
        <v>1</v>
      </c>
      <c r="I632" s="29">
        <f ca="1">IFERROR(__xludf.DUMMYFUNCTION("""COMPUTED_VALUE"""),0)</f>
        <v>0</v>
      </c>
      <c r="J632" s="29">
        <f ca="1">IFERROR(__xludf.DUMMYFUNCTION("""COMPUTED_VALUE"""),0)</f>
        <v>0</v>
      </c>
      <c r="K632" s="29">
        <f ca="1">IFERROR(__xludf.DUMMYFUNCTION("""COMPUTED_VALUE"""),8000)</f>
        <v>8000</v>
      </c>
      <c r="L632" s="29">
        <f ca="1">IFERROR(__xludf.DUMMYFUNCTION("""COMPUTED_VALUE"""),4)</f>
        <v>4</v>
      </c>
      <c r="M632" s="29">
        <f ca="1">IFERROR(__xludf.DUMMYFUNCTION("""COMPUTED_VALUE"""),0)</f>
        <v>0</v>
      </c>
      <c r="N632" s="29">
        <f ca="1">IFERROR(__xludf.DUMMYFUNCTION("""COMPUTED_VALUE"""),0)</f>
        <v>0</v>
      </c>
    </row>
    <row r="633" spans="2:14" ht="12.5">
      <c r="B633" s="2" t="str">
        <f ca="1">IFERROR(__xludf.DUMMYFUNCTION("""COMPUTED_VALUE"""),"山城高")</f>
        <v>山城高</v>
      </c>
      <c r="C633" s="2" t="str">
        <f ca="1">IFERROR(__xludf.DUMMYFUNCTION("""COMPUTED_VALUE"""),"#N/A")</f>
        <v>#N/A</v>
      </c>
      <c r="D633" s="2">
        <f ca="1">IFERROR(__xludf.DUMMYFUNCTION("""COMPUTED_VALUE"""),5000)</f>
        <v>5000</v>
      </c>
      <c r="E633" s="29">
        <f ca="1">IFERROR(__xludf.DUMMYFUNCTION("""COMPUTED_VALUE"""),0)</f>
        <v>0</v>
      </c>
      <c r="F633" s="30">
        <f ca="1">IFERROR(__xludf.DUMMYFUNCTION("""COMPUTED_VALUE"""),0)</f>
        <v>0</v>
      </c>
      <c r="G633" s="29">
        <f ca="1">IFERROR(__xludf.DUMMYFUNCTION("""COMPUTED_VALUE"""),5000)</f>
        <v>5000</v>
      </c>
      <c r="H633" s="30">
        <f ca="1">IFERROR(__xludf.DUMMYFUNCTION("""COMPUTED_VALUE"""),2)</f>
        <v>2</v>
      </c>
      <c r="I633" s="29">
        <f ca="1">IFERROR(__xludf.DUMMYFUNCTION("""COMPUTED_VALUE"""),2000)</f>
        <v>2000</v>
      </c>
      <c r="J633" s="29">
        <f ca="1">IFERROR(__xludf.DUMMYFUNCTION("""COMPUTED_VALUE"""),1)</f>
        <v>1</v>
      </c>
      <c r="K633" s="29">
        <f ca="1">IFERROR(__xludf.DUMMYFUNCTION("""COMPUTED_VALUE"""),8000)</f>
        <v>8000</v>
      </c>
      <c r="L633" s="29">
        <f ca="1">IFERROR(__xludf.DUMMYFUNCTION("""COMPUTED_VALUE"""),4)</f>
        <v>4</v>
      </c>
      <c r="M633" s="29">
        <f ca="1">IFERROR(__xludf.DUMMYFUNCTION("""COMPUTED_VALUE"""),0)</f>
        <v>0</v>
      </c>
      <c r="N633" s="29">
        <f ca="1">IFERROR(__xludf.DUMMYFUNCTION("""COMPUTED_VALUE"""),0)</f>
        <v>0</v>
      </c>
    </row>
    <row r="634" spans="2:14" ht="12.5">
      <c r="B634" s="2" t="str">
        <f ca="1">IFERROR(__xludf.DUMMYFUNCTION("""COMPUTED_VALUE"""),"同志社国際高")</f>
        <v>同志社国際高</v>
      </c>
      <c r="C634" s="2" t="str">
        <f ca="1">IFERROR(__xludf.DUMMYFUNCTION("""COMPUTED_VALUE"""),"#N/A")</f>
        <v>#N/A</v>
      </c>
      <c r="D634" s="2">
        <f ca="1">IFERROR(__xludf.DUMMYFUNCTION("""COMPUTED_VALUE"""),2500)</f>
        <v>2500</v>
      </c>
      <c r="E634" s="29">
        <f ca="1">IFERROR(__xludf.DUMMYFUNCTION("""COMPUTED_VALUE"""),0)</f>
        <v>0</v>
      </c>
      <c r="F634" s="30">
        <f ca="1">IFERROR(__xludf.DUMMYFUNCTION("""COMPUTED_VALUE"""),0)</f>
        <v>0</v>
      </c>
      <c r="G634" s="29">
        <f ca="1">IFERROR(__xludf.DUMMYFUNCTION("""COMPUTED_VALUE"""),2500)</f>
        <v>2500</v>
      </c>
      <c r="H634" s="30">
        <f ca="1">IFERROR(__xludf.DUMMYFUNCTION("""COMPUTED_VALUE"""),1)</f>
        <v>1</v>
      </c>
      <c r="I634" s="29">
        <f ca="1">IFERROR(__xludf.DUMMYFUNCTION("""COMPUTED_VALUE"""),0)</f>
        <v>0</v>
      </c>
      <c r="J634" s="29">
        <f ca="1">IFERROR(__xludf.DUMMYFUNCTION("""COMPUTED_VALUE"""),0)</f>
        <v>0</v>
      </c>
      <c r="K634" s="29">
        <f ca="1">IFERROR(__xludf.DUMMYFUNCTION("""COMPUTED_VALUE"""),0)</f>
        <v>0</v>
      </c>
      <c r="L634" s="29">
        <f ca="1">IFERROR(__xludf.DUMMYFUNCTION("""COMPUTED_VALUE"""),0)</f>
        <v>0</v>
      </c>
      <c r="M634" s="29">
        <f ca="1">IFERROR(__xludf.DUMMYFUNCTION("""COMPUTED_VALUE"""),0)</f>
        <v>0</v>
      </c>
      <c r="N634" s="29">
        <f ca="1">IFERROR(__xludf.DUMMYFUNCTION("""COMPUTED_VALUE"""),0)</f>
        <v>0</v>
      </c>
    </row>
    <row r="635" spans="2:14" ht="12.5">
      <c r="B635" s="2" t="str">
        <f ca="1">IFERROR(__xludf.DUMMYFUNCTION("""COMPUTED_VALUE"""),"寝屋川高")</f>
        <v>寝屋川高</v>
      </c>
      <c r="C635" s="2" t="str">
        <f ca="1">IFERROR(__xludf.DUMMYFUNCTION("""COMPUTED_VALUE"""),"#N/A")</f>
        <v>#N/A</v>
      </c>
      <c r="D635" s="2">
        <f ca="1">IFERROR(__xludf.DUMMYFUNCTION("""COMPUTED_VALUE"""),2500)</f>
        <v>2500</v>
      </c>
      <c r="E635" s="29">
        <f ca="1">IFERROR(__xludf.DUMMYFUNCTION("""COMPUTED_VALUE"""),0)</f>
        <v>0</v>
      </c>
      <c r="F635" s="30">
        <f ca="1">IFERROR(__xludf.DUMMYFUNCTION("""COMPUTED_VALUE"""),0)</f>
        <v>0</v>
      </c>
      <c r="G635" s="29">
        <f ca="1">IFERROR(__xludf.DUMMYFUNCTION("""COMPUTED_VALUE"""),2500)</f>
        <v>2500</v>
      </c>
      <c r="H635" s="30">
        <f ca="1">IFERROR(__xludf.DUMMYFUNCTION("""COMPUTED_VALUE"""),1)</f>
        <v>1</v>
      </c>
      <c r="I635" s="29">
        <f ca="1">IFERROR(__xludf.DUMMYFUNCTION("""COMPUTED_VALUE"""),0)</f>
        <v>0</v>
      </c>
      <c r="J635" s="29">
        <f ca="1">IFERROR(__xludf.DUMMYFUNCTION("""COMPUTED_VALUE"""),0)</f>
        <v>0</v>
      </c>
      <c r="K635" s="29">
        <f ca="1">IFERROR(__xludf.DUMMYFUNCTION("""COMPUTED_VALUE"""),0)</f>
        <v>0</v>
      </c>
      <c r="L635" s="29">
        <f ca="1">IFERROR(__xludf.DUMMYFUNCTION("""COMPUTED_VALUE"""),0)</f>
        <v>0</v>
      </c>
      <c r="M635" s="29">
        <f ca="1">IFERROR(__xludf.DUMMYFUNCTION("""COMPUTED_VALUE"""),0)</f>
        <v>0</v>
      </c>
      <c r="N635" s="29">
        <f ca="1">IFERROR(__xludf.DUMMYFUNCTION("""COMPUTED_VALUE"""),0)</f>
        <v>0</v>
      </c>
    </row>
    <row r="636" spans="2:14" ht="12.5">
      <c r="B636" s="2" t="str">
        <f ca="1">IFERROR(__xludf.DUMMYFUNCTION("""COMPUTED_VALUE"""),"大手前高")</f>
        <v>大手前高</v>
      </c>
      <c r="C636" s="2" t="str">
        <f ca="1">IFERROR(__xludf.DUMMYFUNCTION("""COMPUTED_VALUE"""),"#N/A")</f>
        <v>#N/A</v>
      </c>
      <c r="D636" s="2">
        <f ca="1">IFERROR(__xludf.DUMMYFUNCTION("""COMPUTED_VALUE"""),2500)</f>
        <v>2500</v>
      </c>
      <c r="E636" s="29">
        <f ca="1">IFERROR(__xludf.DUMMYFUNCTION("""COMPUTED_VALUE"""),0)</f>
        <v>0</v>
      </c>
      <c r="F636" s="30">
        <f ca="1">IFERROR(__xludf.DUMMYFUNCTION("""COMPUTED_VALUE"""),0)</f>
        <v>0</v>
      </c>
      <c r="G636" s="29">
        <f ca="1">IFERROR(__xludf.DUMMYFUNCTION("""COMPUTED_VALUE"""),2500)</f>
        <v>2500</v>
      </c>
      <c r="H636" s="30">
        <f ca="1">IFERROR(__xludf.DUMMYFUNCTION("""COMPUTED_VALUE"""),1)</f>
        <v>1</v>
      </c>
      <c r="I636" s="29">
        <f ca="1">IFERROR(__xludf.DUMMYFUNCTION("""COMPUTED_VALUE"""),4000)</f>
        <v>4000</v>
      </c>
      <c r="J636" s="29">
        <f ca="1">IFERROR(__xludf.DUMMYFUNCTION("""COMPUTED_VALUE"""),2)</f>
        <v>2</v>
      </c>
      <c r="K636" s="29">
        <f ca="1">IFERROR(__xludf.DUMMYFUNCTION("""COMPUTED_VALUE"""),8000)</f>
        <v>8000</v>
      </c>
      <c r="L636" s="29">
        <f ca="1">IFERROR(__xludf.DUMMYFUNCTION("""COMPUTED_VALUE"""),4)</f>
        <v>4</v>
      </c>
      <c r="M636" s="29">
        <f ca="1">IFERROR(__xludf.DUMMYFUNCTION("""COMPUTED_VALUE"""),0)</f>
        <v>0</v>
      </c>
      <c r="N636" s="29">
        <f ca="1">IFERROR(__xludf.DUMMYFUNCTION("""COMPUTED_VALUE"""),0)</f>
        <v>0</v>
      </c>
    </row>
    <row r="637" spans="2:14" ht="12.5">
      <c r="B637" s="2" t="str">
        <f ca="1">IFERROR(__xludf.DUMMYFUNCTION("""COMPUTED_VALUE"""),"神戸高")</f>
        <v>神戸高</v>
      </c>
      <c r="C637" s="2" t="str">
        <f ca="1">IFERROR(__xludf.DUMMYFUNCTION("""COMPUTED_VALUE"""),"#N/A")</f>
        <v>#N/A</v>
      </c>
      <c r="D637" s="2">
        <f ca="1">IFERROR(__xludf.DUMMYFUNCTION("""COMPUTED_VALUE"""),5000)</f>
        <v>5000</v>
      </c>
      <c r="E637" s="29">
        <f ca="1">IFERROR(__xludf.DUMMYFUNCTION("""COMPUTED_VALUE"""),0)</f>
        <v>0</v>
      </c>
      <c r="F637" s="30">
        <f ca="1">IFERROR(__xludf.DUMMYFUNCTION("""COMPUTED_VALUE"""),0)</f>
        <v>0</v>
      </c>
      <c r="G637" s="29">
        <f ca="1">IFERROR(__xludf.DUMMYFUNCTION("""COMPUTED_VALUE"""),5000)</f>
        <v>5000</v>
      </c>
      <c r="H637" s="30">
        <f ca="1">IFERROR(__xludf.DUMMYFUNCTION("""COMPUTED_VALUE"""),2)</f>
        <v>2</v>
      </c>
      <c r="I637" s="29">
        <f ca="1">IFERROR(__xludf.DUMMYFUNCTION("""COMPUTED_VALUE"""),8000)</f>
        <v>8000</v>
      </c>
      <c r="J637" s="29">
        <f ca="1">IFERROR(__xludf.DUMMYFUNCTION("""COMPUTED_VALUE"""),4)</f>
        <v>4</v>
      </c>
      <c r="K637" s="29">
        <f ca="1">IFERROR(__xludf.DUMMYFUNCTION("""COMPUTED_VALUE"""),4000)</f>
        <v>4000</v>
      </c>
      <c r="L637" s="29">
        <f ca="1">IFERROR(__xludf.DUMMYFUNCTION("""COMPUTED_VALUE"""),2)</f>
        <v>2</v>
      </c>
      <c r="M637" s="29">
        <f ca="1">IFERROR(__xludf.DUMMYFUNCTION("""COMPUTED_VALUE"""),0)</f>
        <v>0</v>
      </c>
      <c r="N637" s="29">
        <f ca="1">IFERROR(__xludf.DUMMYFUNCTION("""COMPUTED_VALUE"""),0)</f>
        <v>0</v>
      </c>
    </row>
    <row r="638" spans="2:14" ht="12.5">
      <c r="B638" s="2" t="str">
        <f ca="1">IFERROR(__xludf.DUMMYFUNCTION("""COMPUTED_VALUE"""),"育英高")</f>
        <v>育英高</v>
      </c>
      <c r="C638" s="2" t="str">
        <f ca="1">IFERROR(__xludf.DUMMYFUNCTION("""COMPUTED_VALUE"""),"#N/A")</f>
        <v>#N/A</v>
      </c>
      <c r="D638" s="2">
        <f ca="1">IFERROR(__xludf.DUMMYFUNCTION("""COMPUTED_VALUE"""),2500)</f>
        <v>2500</v>
      </c>
      <c r="E638" s="29">
        <f ca="1">IFERROR(__xludf.DUMMYFUNCTION("""COMPUTED_VALUE"""),0)</f>
        <v>0</v>
      </c>
      <c r="F638" s="30">
        <f ca="1">IFERROR(__xludf.DUMMYFUNCTION("""COMPUTED_VALUE"""),0)</f>
        <v>0</v>
      </c>
      <c r="G638" s="29">
        <f ca="1">IFERROR(__xludf.DUMMYFUNCTION("""COMPUTED_VALUE"""),2500)</f>
        <v>2500</v>
      </c>
      <c r="H638" s="30">
        <f ca="1">IFERROR(__xludf.DUMMYFUNCTION("""COMPUTED_VALUE"""),1)</f>
        <v>1</v>
      </c>
      <c r="I638" s="29">
        <f ca="1">IFERROR(__xludf.DUMMYFUNCTION("""COMPUTED_VALUE"""),0)</f>
        <v>0</v>
      </c>
      <c r="J638" s="29">
        <f ca="1">IFERROR(__xludf.DUMMYFUNCTION("""COMPUTED_VALUE"""),0)</f>
        <v>0</v>
      </c>
      <c r="K638" s="29">
        <f ca="1">IFERROR(__xludf.DUMMYFUNCTION("""COMPUTED_VALUE"""),0)</f>
        <v>0</v>
      </c>
      <c r="L638" s="29">
        <f ca="1">IFERROR(__xludf.DUMMYFUNCTION("""COMPUTED_VALUE"""),0)</f>
        <v>0</v>
      </c>
      <c r="M638" s="29">
        <f ca="1">IFERROR(__xludf.DUMMYFUNCTION("""COMPUTED_VALUE"""),0)</f>
        <v>0</v>
      </c>
      <c r="N638" s="29">
        <f ca="1">IFERROR(__xludf.DUMMYFUNCTION("""COMPUTED_VALUE"""),0)</f>
        <v>0</v>
      </c>
    </row>
    <row r="639" spans="2:14" ht="12.5">
      <c r="B639" s="2" t="str">
        <f ca="1">IFERROR(__xludf.DUMMYFUNCTION("""COMPUTED_VALUE"""),"出雲高")</f>
        <v>出雲高</v>
      </c>
      <c r="C639" s="2" t="str">
        <f ca="1">IFERROR(__xludf.DUMMYFUNCTION("""COMPUTED_VALUE"""),"#N/A")</f>
        <v>#N/A</v>
      </c>
      <c r="D639" s="2">
        <f ca="1">IFERROR(__xludf.DUMMYFUNCTION("""COMPUTED_VALUE"""),2500)</f>
        <v>2500</v>
      </c>
      <c r="E639" s="29">
        <f ca="1">IFERROR(__xludf.DUMMYFUNCTION("""COMPUTED_VALUE"""),0)</f>
        <v>0</v>
      </c>
      <c r="F639" s="30">
        <f ca="1">IFERROR(__xludf.DUMMYFUNCTION("""COMPUTED_VALUE"""),0)</f>
        <v>0</v>
      </c>
      <c r="G639" s="29">
        <f ca="1">IFERROR(__xludf.DUMMYFUNCTION("""COMPUTED_VALUE"""),2500)</f>
        <v>2500</v>
      </c>
      <c r="H639" s="30">
        <f ca="1">IFERROR(__xludf.DUMMYFUNCTION("""COMPUTED_VALUE"""),1)</f>
        <v>1</v>
      </c>
      <c r="I639" s="29">
        <f ca="1">IFERROR(__xludf.DUMMYFUNCTION("""COMPUTED_VALUE"""),0)</f>
        <v>0</v>
      </c>
      <c r="J639" s="29">
        <f ca="1">IFERROR(__xludf.DUMMYFUNCTION("""COMPUTED_VALUE"""),0)</f>
        <v>0</v>
      </c>
      <c r="K639" s="29">
        <f ca="1">IFERROR(__xludf.DUMMYFUNCTION("""COMPUTED_VALUE"""),0)</f>
        <v>0</v>
      </c>
      <c r="L639" s="29">
        <f ca="1">IFERROR(__xludf.DUMMYFUNCTION("""COMPUTED_VALUE"""),0)</f>
        <v>0</v>
      </c>
      <c r="M639" s="29">
        <f ca="1">IFERROR(__xludf.DUMMYFUNCTION("""COMPUTED_VALUE"""),0)</f>
        <v>0</v>
      </c>
      <c r="N639" s="29">
        <f ca="1">IFERROR(__xludf.DUMMYFUNCTION("""COMPUTED_VALUE"""),0)</f>
        <v>0</v>
      </c>
    </row>
    <row r="640" spans="2:14" ht="12.5">
      <c r="B640" s="2" t="str">
        <f ca="1">IFERROR(__xludf.DUMMYFUNCTION("""COMPUTED_VALUE"""),"愛光高")</f>
        <v>愛光高</v>
      </c>
      <c r="C640" s="2" t="str">
        <f ca="1">IFERROR(__xludf.DUMMYFUNCTION("""COMPUTED_VALUE"""),"#N/A")</f>
        <v>#N/A</v>
      </c>
      <c r="D640" s="2">
        <f ca="1">IFERROR(__xludf.DUMMYFUNCTION("""COMPUTED_VALUE"""),2500)</f>
        <v>2500</v>
      </c>
      <c r="E640" s="29">
        <f ca="1">IFERROR(__xludf.DUMMYFUNCTION("""COMPUTED_VALUE"""),0)</f>
        <v>0</v>
      </c>
      <c r="F640" s="30">
        <f ca="1">IFERROR(__xludf.DUMMYFUNCTION("""COMPUTED_VALUE"""),0)</f>
        <v>0</v>
      </c>
      <c r="G640" s="29">
        <f ca="1">IFERROR(__xludf.DUMMYFUNCTION("""COMPUTED_VALUE"""),2500)</f>
        <v>2500</v>
      </c>
      <c r="H640" s="30">
        <f ca="1">IFERROR(__xludf.DUMMYFUNCTION("""COMPUTED_VALUE"""),1)</f>
        <v>1</v>
      </c>
      <c r="I640" s="29">
        <f ca="1">IFERROR(__xludf.DUMMYFUNCTION("""COMPUTED_VALUE"""),10000)</f>
        <v>10000</v>
      </c>
      <c r="J640" s="29">
        <f ca="1">IFERROR(__xludf.DUMMYFUNCTION("""COMPUTED_VALUE"""),5)</f>
        <v>5</v>
      </c>
      <c r="K640" s="29">
        <f ca="1">IFERROR(__xludf.DUMMYFUNCTION("""COMPUTED_VALUE"""),4000)</f>
        <v>4000</v>
      </c>
      <c r="L640" s="29">
        <f ca="1">IFERROR(__xludf.DUMMYFUNCTION("""COMPUTED_VALUE"""),2)</f>
        <v>2</v>
      </c>
      <c r="M640" s="29">
        <f ca="1">IFERROR(__xludf.DUMMYFUNCTION("""COMPUTED_VALUE"""),0)</f>
        <v>0</v>
      </c>
      <c r="N640" s="29">
        <f ca="1">IFERROR(__xludf.DUMMYFUNCTION("""COMPUTED_VALUE"""),0)</f>
        <v>0</v>
      </c>
    </row>
    <row r="641" spans="2:14" ht="12.5">
      <c r="B641" s="2" t="str">
        <f ca="1">IFERROR(__xludf.DUMMYFUNCTION("""COMPUTED_VALUE"""),"宮古高")</f>
        <v>宮古高</v>
      </c>
      <c r="C641" s="2" t="str">
        <f ca="1">IFERROR(__xludf.DUMMYFUNCTION("""COMPUTED_VALUE"""),"#N/A")</f>
        <v>#N/A</v>
      </c>
      <c r="D641" s="2">
        <f ca="1">IFERROR(__xludf.DUMMYFUNCTION("""COMPUTED_VALUE"""),2500)</f>
        <v>2500</v>
      </c>
      <c r="E641" s="29">
        <f ca="1">IFERROR(__xludf.DUMMYFUNCTION("""COMPUTED_VALUE"""),0)</f>
        <v>0</v>
      </c>
      <c r="F641" s="30">
        <f ca="1">IFERROR(__xludf.DUMMYFUNCTION("""COMPUTED_VALUE"""),0)</f>
        <v>0</v>
      </c>
      <c r="G641" s="29">
        <f ca="1">IFERROR(__xludf.DUMMYFUNCTION("""COMPUTED_VALUE"""),2500)</f>
        <v>2500</v>
      </c>
      <c r="H641" s="30">
        <f ca="1">IFERROR(__xludf.DUMMYFUNCTION("""COMPUTED_VALUE"""),1)</f>
        <v>1</v>
      </c>
      <c r="I641" s="29">
        <f ca="1">IFERROR(__xludf.DUMMYFUNCTION("""COMPUTED_VALUE"""),4000)</f>
        <v>4000</v>
      </c>
      <c r="J641" s="29">
        <f ca="1">IFERROR(__xludf.DUMMYFUNCTION("""COMPUTED_VALUE"""),2)</f>
        <v>2</v>
      </c>
      <c r="K641" s="29">
        <f ca="1">IFERROR(__xludf.DUMMYFUNCTION("""COMPUTED_VALUE"""),18000)</f>
        <v>18000</v>
      </c>
      <c r="L641" s="29">
        <f ca="1">IFERROR(__xludf.DUMMYFUNCTION("""COMPUTED_VALUE"""),9)</f>
        <v>9</v>
      </c>
      <c r="M641" s="29">
        <f ca="1">IFERROR(__xludf.DUMMYFUNCTION("""COMPUTED_VALUE"""),0)</f>
        <v>0</v>
      </c>
      <c r="N641" s="29">
        <f ca="1">IFERROR(__xludf.DUMMYFUNCTION("""COMPUTED_VALUE"""),0)</f>
        <v>0</v>
      </c>
    </row>
    <row r="642" spans="2:14" ht="12.5">
      <c r="B642" s="2" t="str">
        <f ca="1">IFERROR(__xludf.DUMMYFUNCTION("""COMPUTED_VALUE"""),"宮城第一高")</f>
        <v>宮城第一高</v>
      </c>
      <c r="C642" s="2" t="str">
        <f ca="1">IFERROR(__xludf.DUMMYFUNCTION("""COMPUTED_VALUE"""),"#N/A")</f>
        <v>#N/A</v>
      </c>
      <c r="D642" s="2">
        <f ca="1">IFERROR(__xludf.DUMMYFUNCTION("""COMPUTED_VALUE"""),5000)</f>
        <v>5000</v>
      </c>
      <c r="E642" s="29">
        <f ca="1">IFERROR(__xludf.DUMMYFUNCTION("""COMPUTED_VALUE"""),0)</f>
        <v>0</v>
      </c>
      <c r="F642" s="30">
        <f ca="1">IFERROR(__xludf.DUMMYFUNCTION("""COMPUTED_VALUE"""),0)</f>
        <v>0</v>
      </c>
      <c r="G642" s="29">
        <f ca="1">IFERROR(__xludf.DUMMYFUNCTION("""COMPUTED_VALUE"""),5000)</f>
        <v>5000</v>
      </c>
      <c r="H642" s="30">
        <f ca="1">IFERROR(__xludf.DUMMYFUNCTION("""COMPUTED_VALUE"""),2)</f>
        <v>2</v>
      </c>
      <c r="I642" s="29">
        <f ca="1">IFERROR(__xludf.DUMMYFUNCTION("""COMPUTED_VALUE"""),6000)</f>
        <v>6000</v>
      </c>
      <c r="J642" s="29">
        <f ca="1">IFERROR(__xludf.DUMMYFUNCTION("""COMPUTED_VALUE"""),3)</f>
        <v>3</v>
      </c>
      <c r="K642" s="29">
        <f ca="1">IFERROR(__xludf.DUMMYFUNCTION("""COMPUTED_VALUE"""),4000)</f>
        <v>4000</v>
      </c>
      <c r="L642" s="29">
        <f ca="1">IFERROR(__xludf.DUMMYFUNCTION("""COMPUTED_VALUE"""),2)</f>
        <v>2</v>
      </c>
      <c r="M642" s="29">
        <f ca="1">IFERROR(__xludf.DUMMYFUNCTION("""COMPUTED_VALUE"""),0)</f>
        <v>0</v>
      </c>
      <c r="N642" s="29">
        <f ca="1">IFERROR(__xludf.DUMMYFUNCTION("""COMPUTED_VALUE"""),0)</f>
        <v>0</v>
      </c>
    </row>
    <row r="643" spans="2:14" ht="12.5">
      <c r="B643" s="2" t="str">
        <f ca="1">IFERROR(__xludf.DUMMYFUNCTION("""COMPUTED_VALUE"""),"前橋女子高")</f>
        <v>前橋女子高</v>
      </c>
      <c r="C643" s="2" t="str">
        <f ca="1">IFERROR(__xludf.DUMMYFUNCTION("""COMPUTED_VALUE"""),"#N/A")</f>
        <v>#N/A</v>
      </c>
      <c r="D643" s="2">
        <f ca="1">IFERROR(__xludf.DUMMYFUNCTION("""COMPUTED_VALUE"""),5000)</f>
        <v>5000</v>
      </c>
      <c r="E643" s="29">
        <f ca="1">IFERROR(__xludf.DUMMYFUNCTION("""COMPUTED_VALUE"""),0)</f>
        <v>0</v>
      </c>
      <c r="F643" s="30">
        <f ca="1">IFERROR(__xludf.DUMMYFUNCTION("""COMPUTED_VALUE"""),0)</f>
        <v>0</v>
      </c>
      <c r="G643" s="29">
        <f ca="1">IFERROR(__xludf.DUMMYFUNCTION("""COMPUTED_VALUE"""),5000)</f>
        <v>5000</v>
      </c>
      <c r="H643" s="30">
        <f ca="1">IFERROR(__xludf.DUMMYFUNCTION("""COMPUTED_VALUE"""),2)</f>
        <v>2</v>
      </c>
      <c r="I643" s="29">
        <f ca="1">IFERROR(__xludf.DUMMYFUNCTION("""COMPUTED_VALUE"""),10000)</f>
        <v>10000</v>
      </c>
      <c r="J643" s="29">
        <f ca="1">IFERROR(__xludf.DUMMYFUNCTION("""COMPUTED_VALUE"""),5)</f>
        <v>5</v>
      </c>
      <c r="K643" s="29">
        <f ca="1">IFERROR(__xludf.DUMMYFUNCTION("""COMPUTED_VALUE"""),6000)</f>
        <v>6000</v>
      </c>
      <c r="L643" s="29">
        <f ca="1">IFERROR(__xludf.DUMMYFUNCTION("""COMPUTED_VALUE"""),3)</f>
        <v>3</v>
      </c>
      <c r="M643" s="29">
        <f ca="1">IFERROR(__xludf.DUMMYFUNCTION("""COMPUTED_VALUE"""),0)</f>
        <v>0</v>
      </c>
      <c r="N643" s="29">
        <f ca="1">IFERROR(__xludf.DUMMYFUNCTION("""COMPUTED_VALUE"""),0)</f>
        <v>0</v>
      </c>
    </row>
    <row r="644" spans="2:14" ht="12.5">
      <c r="B644" s="2" t="str">
        <f ca="1">IFERROR(__xludf.DUMMYFUNCTION("""COMPUTED_VALUE"""),"筑波大附高")</f>
        <v>筑波大附高</v>
      </c>
      <c r="C644" s="2" t="str">
        <f ca="1">IFERROR(__xludf.DUMMYFUNCTION("""COMPUTED_VALUE"""),"#N/A")</f>
        <v>#N/A</v>
      </c>
      <c r="D644" s="2">
        <f ca="1">IFERROR(__xludf.DUMMYFUNCTION("""COMPUTED_VALUE"""),5000)</f>
        <v>5000</v>
      </c>
      <c r="E644" s="29">
        <f ca="1">IFERROR(__xludf.DUMMYFUNCTION("""COMPUTED_VALUE"""),0)</f>
        <v>0</v>
      </c>
      <c r="F644" s="30">
        <f ca="1">IFERROR(__xludf.DUMMYFUNCTION("""COMPUTED_VALUE"""),0)</f>
        <v>0</v>
      </c>
      <c r="G644" s="29">
        <f ca="1">IFERROR(__xludf.DUMMYFUNCTION("""COMPUTED_VALUE"""),5000)</f>
        <v>5000</v>
      </c>
      <c r="H644" s="30">
        <f ca="1">IFERROR(__xludf.DUMMYFUNCTION("""COMPUTED_VALUE"""),2)</f>
        <v>2</v>
      </c>
      <c r="I644" s="29">
        <f ca="1">IFERROR(__xludf.DUMMYFUNCTION("""COMPUTED_VALUE"""),4000)</f>
        <v>4000</v>
      </c>
      <c r="J644" s="29">
        <f ca="1">IFERROR(__xludf.DUMMYFUNCTION("""COMPUTED_VALUE"""),2)</f>
        <v>2</v>
      </c>
      <c r="K644" s="29">
        <f ca="1">IFERROR(__xludf.DUMMYFUNCTION("""COMPUTED_VALUE"""),2000)</f>
        <v>2000</v>
      </c>
      <c r="L644" s="29">
        <f ca="1">IFERROR(__xludf.DUMMYFUNCTION("""COMPUTED_VALUE"""),1)</f>
        <v>1</v>
      </c>
      <c r="M644" s="29">
        <f ca="1">IFERROR(__xludf.DUMMYFUNCTION("""COMPUTED_VALUE"""),0)</f>
        <v>0</v>
      </c>
      <c r="N644" s="29">
        <f ca="1">IFERROR(__xludf.DUMMYFUNCTION("""COMPUTED_VALUE"""),0)</f>
        <v>0</v>
      </c>
    </row>
    <row r="645" spans="2:14" ht="12.5">
      <c r="B645" s="2" t="str">
        <f ca="1">IFERROR(__xludf.DUMMYFUNCTION("""COMPUTED_VALUE"""),"城東高")</f>
        <v>城東高</v>
      </c>
      <c r="C645" s="2" t="str">
        <f ca="1">IFERROR(__xludf.DUMMYFUNCTION("""COMPUTED_VALUE"""),"#N/A")</f>
        <v>#N/A</v>
      </c>
      <c r="D645" s="2">
        <f ca="1">IFERROR(__xludf.DUMMYFUNCTION("""COMPUTED_VALUE"""),2500)</f>
        <v>2500</v>
      </c>
      <c r="E645" s="29">
        <f ca="1">IFERROR(__xludf.DUMMYFUNCTION("""COMPUTED_VALUE"""),0)</f>
        <v>0</v>
      </c>
      <c r="F645" s="30">
        <f ca="1">IFERROR(__xludf.DUMMYFUNCTION("""COMPUTED_VALUE"""),0)</f>
        <v>0</v>
      </c>
      <c r="G645" s="29">
        <f ca="1">IFERROR(__xludf.DUMMYFUNCTION("""COMPUTED_VALUE"""),2500)</f>
        <v>2500</v>
      </c>
      <c r="H645" s="30">
        <f ca="1">IFERROR(__xludf.DUMMYFUNCTION("""COMPUTED_VALUE"""),1)</f>
        <v>1</v>
      </c>
      <c r="I645" s="29">
        <f ca="1">IFERROR(__xludf.DUMMYFUNCTION("""COMPUTED_VALUE"""),12000)</f>
        <v>12000</v>
      </c>
      <c r="J645" s="29">
        <f ca="1">IFERROR(__xludf.DUMMYFUNCTION("""COMPUTED_VALUE"""),6)</f>
        <v>6</v>
      </c>
      <c r="K645" s="29">
        <f ca="1">IFERROR(__xludf.DUMMYFUNCTION("""COMPUTED_VALUE"""),14000)</f>
        <v>14000</v>
      </c>
      <c r="L645" s="29">
        <f ca="1">IFERROR(__xludf.DUMMYFUNCTION("""COMPUTED_VALUE"""),7)</f>
        <v>7</v>
      </c>
      <c r="M645" s="29">
        <f ca="1">IFERROR(__xludf.DUMMYFUNCTION("""COMPUTED_VALUE"""),0)</f>
        <v>0</v>
      </c>
      <c r="N645" s="29">
        <f ca="1">IFERROR(__xludf.DUMMYFUNCTION("""COMPUTED_VALUE"""),0)</f>
        <v>0</v>
      </c>
    </row>
    <row r="646" spans="2:14" ht="12.5">
      <c r="B646" s="2" t="str">
        <f ca="1">IFERROR(__xludf.DUMMYFUNCTION("""COMPUTED_VALUE"""),"東京学芸大附高")</f>
        <v>東京学芸大附高</v>
      </c>
      <c r="C646" s="2" t="str">
        <f ca="1">IFERROR(__xludf.DUMMYFUNCTION("""COMPUTED_VALUE"""),"#N/A")</f>
        <v>#N/A</v>
      </c>
      <c r="D646" s="2">
        <f ca="1">IFERROR(__xludf.DUMMYFUNCTION("""COMPUTED_VALUE"""),2500)</f>
        <v>2500</v>
      </c>
      <c r="E646" s="29">
        <f ca="1">IFERROR(__xludf.DUMMYFUNCTION("""COMPUTED_VALUE"""),0)</f>
        <v>0</v>
      </c>
      <c r="F646" s="30">
        <f ca="1">IFERROR(__xludf.DUMMYFUNCTION("""COMPUTED_VALUE"""),0)</f>
        <v>0</v>
      </c>
      <c r="G646" s="29">
        <f ca="1">IFERROR(__xludf.DUMMYFUNCTION("""COMPUTED_VALUE"""),2500)</f>
        <v>2500</v>
      </c>
      <c r="H646" s="30">
        <f ca="1">IFERROR(__xludf.DUMMYFUNCTION("""COMPUTED_VALUE"""),1)</f>
        <v>1</v>
      </c>
      <c r="I646" s="29">
        <f ca="1">IFERROR(__xludf.DUMMYFUNCTION("""COMPUTED_VALUE"""),2000)</f>
        <v>2000</v>
      </c>
      <c r="J646" s="29">
        <f ca="1">IFERROR(__xludf.DUMMYFUNCTION("""COMPUTED_VALUE"""),1)</f>
        <v>1</v>
      </c>
      <c r="K646" s="29">
        <f ca="1">IFERROR(__xludf.DUMMYFUNCTION("""COMPUTED_VALUE"""),8000)</f>
        <v>8000</v>
      </c>
      <c r="L646" s="29">
        <f ca="1">IFERROR(__xludf.DUMMYFUNCTION("""COMPUTED_VALUE"""),4)</f>
        <v>4</v>
      </c>
      <c r="M646" s="29">
        <f ca="1">IFERROR(__xludf.DUMMYFUNCTION("""COMPUTED_VALUE"""),0)</f>
        <v>0</v>
      </c>
      <c r="N646" s="29">
        <f ca="1">IFERROR(__xludf.DUMMYFUNCTION("""COMPUTED_VALUE"""),0)</f>
        <v>0</v>
      </c>
    </row>
    <row r="647" spans="2:14" ht="12.5">
      <c r="B647" s="2" t="str">
        <f ca="1">IFERROR(__xludf.DUMMYFUNCTION("""COMPUTED_VALUE"""),"慶應義塾湘南藤沢高")</f>
        <v>慶應義塾湘南藤沢高</v>
      </c>
      <c r="C647" s="2" t="str">
        <f ca="1">IFERROR(__xludf.DUMMYFUNCTION("""COMPUTED_VALUE"""),"#N/A")</f>
        <v>#N/A</v>
      </c>
      <c r="D647" s="2">
        <f ca="1">IFERROR(__xludf.DUMMYFUNCTION("""COMPUTED_VALUE"""),5000)</f>
        <v>5000</v>
      </c>
      <c r="E647" s="29">
        <f ca="1">IFERROR(__xludf.DUMMYFUNCTION("""COMPUTED_VALUE"""),0)</f>
        <v>0</v>
      </c>
      <c r="F647" s="30">
        <f ca="1">IFERROR(__xludf.DUMMYFUNCTION("""COMPUTED_VALUE"""),0)</f>
        <v>0</v>
      </c>
      <c r="G647" s="29">
        <f ca="1">IFERROR(__xludf.DUMMYFUNCTION("""COMPUTED_VALUE"""),5000)</f>
        <v>5000</v>
      </c>
      <c r="H647" s="30">
        <f ca="1">IFERROR(__xludf.DUMMYFUNCTION("""COMPUTED_VALUE"""),2)</f>
        <v>2</v>
      </c>
      <c r="I647" s="29">
        <f ca="1">IFERROR(__xludf.DUMMYFUNCTION("""COMPUTED_VALUE"""),16000)</f>
        <v>16000</v>
      </c>
      <c r="J647" s="29">
        <f ca="1">IFERROR(__xludf.DUMMYFUNCTION("""COMPUTED_VALUE"""),8)</f>
        <v>8</v>
      </c>
      <c r="K647" s="29">
        <f ca="1">IFERROR(__xludf.DUMMYFUNCTION("""COMPUTED_VALUE"""),0)</f>
        <v>0</v>
      </c>
      <c r="L647" s="29">
        <f ca="1">IFERROR(__xludf.DUMMYFUNCTION("""COMPUTED_VALUE"""),0)</f>
        <v>0</v>
      </c>
      <c r="M647" s="29">
        <f ca="1">IFERROR(__xludf.DUMMYFUNCTION("""COMPUTED_VALUE"""),0)</f>
        <v>0</v>
      </c>
      <c r="N647" s="29">
        <f ca="1">IFERROR(__xludf.DUMMYFUNCTION("""COMPUTED_VALUE"""),0)</f>
        <v>0</v>
      </c>
    </row>
    <row r="648" spans="2:14" ht="12.5">
      <c r="B648" s="2" t="str">
        <f ca="1">IFERROR(__xludf.DUMMYFUNCTION("""COMPUTED_VALUE"""),"新城高")</f>
        <v>新城高</v>
      </c>
      <c r="C648" s="2" t="str">
        <f ca="1">IFERROR(__xludf.DUMMYFUNCTION("""COMPUTED_VALUE"""),"#N/A")</f>
        <v>#N/A</v>
      </c>
      <c r="D648" s="2">
        <f ca="1">IFERROR(__xludf.DUMMYFUNCTION("""COMPUTED_VALUE"""),2500)</f>
        <v>2500</v>
      </c>
      <c r="E648" s="29">
        <f ca="1">IFERROR(__xludf.DUMMYFUNCTION("""COMPUTED_VALUE"""),0)</f>
        <v>0</v>
      </c>
      <c r="F648" s="30">
        <f ca="1">IFERROR(__xludf.DUMMYFUNCTION("""COMPUTED_VALUE"""),0)</f>
        <v>0</v>
      </c>
      <c r="G648" s="29">
        <f ca="1">IFERROR(__xludf.DUMMYFUNCTION("""COMPUTED_VALUE"""),2500)</f>
        <v>2500</v>
      </c>
      <c r="H648" s="30">
        <f ca="1">IFERROR(__xludf.DUMMYFUNCTION("""COMPUTED_VALUE"""),1)</f>
        <v>1</v>
      </c>
      <c r="I648" s="29">
        <f ca="1">IFERROR(__xludf.DUMMYFUNCTION("""COMPUTED_VALUE"""),2000)</f>
        <v>2000</v>
      </c>
      <c r="J648" s="29">
        <f ca="1">IFERROR(__xludf.DUMMYFUNCTION("""COMPUTED_VALUE"""),1)</f>
        <v>1</v>
      </c>
      <c r="K648" s="29">
        <f ca="1">IFERROR(__xludf.DUMMYFUNCTION("""COMPUTED_VALUE"""),8000)</f>
        <v>8000</v>
      </c>
      <c r="L648" s="29">
        <f ca="1">IFERROR(__xludf.DUMMYFUNCTION("""COMPUTED_VALUE"""),4)</f>
        <v>4</v>
      </c>
      <c r="M648" s="29">
        <f ca="1">IFERROR(__xludf.DUMMYFUNCTION("""COMPUTED_VALUE"""),0)</f>
        <v>0</v>
      </c>
      <c r="N648" s="29">
        <f ca="1">IFERROR(__xludf.DUMMYFUNCTION("""COMPUTED_VALUE"""),0)</f>
        <v>0</v>
      </c>
    </row>
    <row r="649" spans="2:14" ht="12.5">
      <c r="B649" s="2" t="str">
        <f ca="1">IFERROR(__xludf.DUMMYFUNCTION("""COMPUTED_VALUE"""),"相模女子大高等部")</f>
        <v>相模女子大高等部</v>
      </c>
      <c r="C649" s="2" t="str">
        <f ca="1">IFERROR(__xludf.DUMMYFUNCTION("""COMPUTED_VALUE"""),"#N/A")</f>
        <v>#N/A</v>
      </c>
      <c r="D649" s="2">
        <f ca="1">IFERROR(__xludf.DUMMYFUNCTION("""COMPUTED_VALUE"""),2500)</f>
        <v>2500</v>
      </c>
      <c r="E649" s="29">
        <f ca="1">IFERROR(__xludf.DUMMYFUNCTION("""COMPUTED_VALUE"""),0)</f>
        <v>0</v>
      </c>
      <c r="F649" s="30">
        <f ca="1">IFERROR(__xludf.DUMMYFUNCTION("""COMPUTED_VALUE"""),0)</f>
        <v>0</v>
      </c>
      <c r="G649" s="29">
        <f ca="1">IFERROR(__xludf.DUMMYFUNCTION("""COMPUTED_VALUE"""),2500)</f>
        <v>2500</v>
      </c>
      <c r="H649" s="30">
        <f ca="1">IFERROR(__xludf.DUMMYFUNCTION("""COMPUTED_VALUE"""),1)</f>
        <v>1</v>
      </c>
      <c r="I649" s="29">
        <f ca="1">IFERROR(__xludf.DUMMYFUNCTION("""COMPUTED_VALUE"""),0)</f>
        <v>0</v>
      </c>
      <c r="J649" s="29">
        <f ca="1">IFERROR(__xludf.DUMMYFUNCTION("""COMPUTED_VALUE"""),0)</f>
        <v>0</v>
      </c>
      <c r="K649" s="29">
        <f ca="1">IFERROR(__xludf.DUMMYFUNCTION("""COMPUTED_VALUE"""),0)</f>
        <v>0</v>
      </c>
      <c r="L649" s="29">
        <f ca="1">IFERROR(__xludf.DUMMYFUNCTION("""COMPUTED_VALUE"""),0)</f>
        <v>0</v>
      </c>
      <c r="M649" s="29">
        <f ca="1">IFERROR(__xludf.DUMMYFUNCTION("""COMPUTED_VALUE"""),0)</f>
        <v>0</v>
      </c>
      <c r="N649" s="29">
        <f ca="1">IFERROR(__xludf.DUMMYFUNCTION("""COMPUTED_VALUE"""),0)</f>
        <v>0</v>
      </c>
    </row>
    <row r="650" spans="2:14" ht="12.5">
      <c r="B650" s="2" t="str">
        <f ca="1">IFERROR(__xludf.DUMMYFUNCTION("""COMPUTED_VALUE"""),"小松大谷高")</f>
        <v>小松大谷高</v>
      </c>
      <c r="C650" s="2" t="str">
        <f ca="1">IFERROR(__xludf.DUMMYFUNCTION("""COMPUTED_VALUE"""),"#N/A")</f>
        <v>#N/A</v>
      </c>
      <c r="D650" s="2">
        <f ca="1">IFERROR(__xludf.DUMMYFUNCTION("""COMPUTED_VALUE"""),2500)</f>
        <v>2500</v>
      </c>
      <c r="E650" s="29">
        <f ca="1">IFERROR(__xludf.DUMMYFUNCTION("""COMPUTED_VALUE"""),0)</f>
        <v>0</v>
      </c>
      <c r="F650" s="30">
        <f ca="1">IFERROR(__xludf.DUMMYFUNCTION("""COMPUTED_VALUE"""),0)</f>
        <v>0</v>
      </c>
      <c r="G650" s="29">
        <f ca="1">IFERROR(__xludf.DUMMYFUNCTION("""COMPUTED_VALUE"""),2500)</f>
        <v>2500</v>
      </c>
      <c r="H650" s="30">
        <f ca="1">IFERROR(__xludf.DUMMYFUNCTION("""COMPUTED_VALUE"""),1)</f>
        <v>1</v>
      </c>
      <c r="I650" s="29">
        <f ca="1">IFERROR(__xludf.DUMMYFUNCTION("""COMPUTED_VALUE"""),0)</f>
        <v>0</v>
      </c>
      <c r="J650" s="29">
        <f ca="1">IFERROR(__xludf.DUMMYFUNCTION("""COMPUTED_VALUE"""),0)</f>
        <v>0</v>
      </c>
      <c r="K650" s="29">
        <f ca="1">IFERROR(__xludf.DUMMYFUNCTION("""COMPUTED_VALUE"""),0)</f>
        <v>0</v>
      </c>
      <c r="L650" s="29">
        <f ca="1">IFERROR(__xludf.DUMMYFUNCTION("""COMPUTED_VALUE"""),0)</f>
        <v>0</v>
      </c>
      <c r="M650" s="29">
        <f ca="1">IFERROR(__xludf.DUMMYFUNCTION("""COMPUTED_VALUE"""),0)</f>
        <v>0</v>
      </c>
      <c r="N650" s="29">
        <f ca="1">IFERROR(__xludf.DUMMYFUNCTION("""COMPUTED_VALUE"""),0)</f>
        <v>0</v>
      </c>
    </row>
    <row r="651" spans="2:14" ht="12.5">
      <c r="B651" s="2" t="str">
        <f ca="1">IFERROR(__xludf.DUMMYFUNCTION("""COMPUTED_VALUE"""),"文化学園長野高")</f>
        <v>文化学園長野高</v>
      </c>
      <c r="C651" s="2" t="str">
        <f ca="1">IFERROR(__xludf.DUMMYFUNCTION("""COMPUTED_VALUE"""),"#N/A")</f>
        <v>#N/A</v>
      </c>
      <c r="D651" s="2">
        <f ca="1">IFERROR(__xludf.DUMMYFUNCTION("""COMPUTED_VALUE"""),2500)</f>
        <v>2500</v>
      </c>
      <c r="E651" s="29">
        <f ca="1">IFERROR(__xludf.DUMMYFUNCTION("""COMPUTED_VALUE"""),0)</f>
        <v>0</v>
      </c>
      <c r="F651" s="30">
        <f ca="1">IFERROR(__xludf.DUMMYFUNCTION("""COMPUTED_VALUE"""),0)</f>
        <v>0</v>
      </c>
      <c r="G651" s="29">
        <f ca="1">IFERROR(__xludf.DUMMYFUNCTION("""COMPUTED_VALUE"""),2500)</f>
        <v>2500</v>
      </c>
      <c r="H651" s="30">
        <f ca="1">IFERROR(__xludf.DUMMYFUNCTION("""COMPUTED_VALUE"""),1)</f>
        <v>1</v>
      </c>
      <c r="I651" s="29">
        <f ca="1">IFERROR(__xludf.DUMMYFUNCTION("""COMPUTED_VALUE"""),0)</f>
        <v>0</v>
      </c>
      <c r="J651" s="29">
        <f ca="1">IFERROR(__xludf.DUMMYFUNCTION("""COMPUTED_VALUE"""),0)</f>
        <v>0</v>
      </c>
      <c r="K651" s="29">
        <f ca="1">IFERROR(__xludf.DUMMYFUNCTION("""COMPUTED_VALUE"""),0)</f>
        <v>0</v>
      </c>
      <c r="L651" s="29">
        <f ca="1">IFERROR(__xludf.DUMMYFUNCTION("""COMPUTED_VALUE"""),0)</f>
        <v>0</v>
      </c>
      <c r="M651" s="29">
        <f ca="1">IFERROR(__xludf.DUMMYFUNCTION("""COMPUTED_VALUE"""),0)</f>
        <v>0</v>
      </c>
      <c r="N651" s="29">
        <f ca="1">IFERROR(__xludf.DUMMYFUNCTION("""COMPUTED_VALUE"""),0)</f>
        <v>0</v>
      </c>
    </row>
    <row r="652" spans="2:14" ht="12.5">
      <c r="B652" s="2" t="str">
        <f ca="1">IFERROR(__xludf.DUMMYFUNCTION("""COMPUTED_VALUE"""),"滝高")</f>
        <v>滝高</v>
      </c>
      <c r="C652" s="2" t="str">
        <f ca="1">IFERROR(__xludf.DUMMYFUNCTION("""COMPUTED_VALUE"""),"#N/A")</f>
        <v>#N/A</v>
      </c>
      <c r="D652" s="2">
        <f ca="1">IFERROR(__xludf.DUMMYFUNCTION("""COMPUTED_VALUE"""),2500)</f>
        <v>2500</v>
      </c>
      <c r="E652" s="29">
        <f ca="1">IFERROR(__xludf.DUMMYFUNCTION("""COMPUTED_VALUE"""),0)</f>
        <v>0</v>
      </c>
      <c r="F652" s="30">
        <f ca="1">IFERROR(__xludf.DUMMYFUNCTION("""COMPUTED_VALUE"""),0)</f>
        <v>0</v>
      </c>
      <c r="G652" s="29">
        <f ca="1">IFERROR(__xludf.DUMMYFUNCTION("""COMPUTED_VALUE"""),2500)</f>
        <v>2500</v>
      </c>
      <c r="H652" s="30">
        <f ca="1">IFERROR(__xludf.DUMMYFUNCTION("""COMPUTED_VALUE"""),1)</f>
        <v>1</v>
      </c>
      <c r="I652" s="29">
        <f ca="1">IFERROR(__xludf.DUMMYFUNCTION("""COMPUTED_VALUE"""),0)</f>
        <v>0</v>
      </c>
      <c r="J652" s="29">
        <f ca="1">IFERROR(__xludf.DUMMYFUNCTION("""COMPUTED_VALUE"""),0)</f>
        <v>0</v>
      </c>
      <c r="K652" s="29">
        <f ca="1">IFERROR(__xludf.DUMMYFUNCTION("""COMPUTED_VALUE"""),6000)</f>
        <v>6000</v>
      </c>
      <c r="L652" s="29">
        <f ca="1">IFERROR(__xludf.DUMMYFUNCTION("""COMPUTED_VALUE"""),3)</f>
        <v>3</v>
      </c>
      <c r="M652" s="29">
        <f ca="1">IFERROR(__xludf.DUMMYFUNCTION("""COMPUTED_VALUE"""),0)</f>
        <v>0</v>
      </c>
      <c r="N652" s="29">
        <f ca="1">IFERROR(__xludf.DUMMYFUNCTION("""COMPUTED_VALUE"""),0)</f>
        <v>0</v>
      </c>
    </row>
    <row r="653" spans="2:14" ht="12.5">
      <c r="B653" s="2" t="str">
        <f ca="1">IFERROR(__xludf.DUMMYFUNCTION("""COMPUTED_VALUE"""),"龍谷大付平安高")</f>
        <v>龍谷大付平安高</v>
      </c>
      <c r="C653" s="2" t="str">
        <f ca="1">IFERROR(__xludf.DUMMYFUNCTION("""COMPUTED_VALUE"""),"#N/A")</f>
        <v>#N/A</v>
      </c>
      <c r="D653" s="2">
        <f ca="1">IFERROR(__xludf.DUMMYFUNCTION("""COMPUTED_VALUE"""),2500)</f>
        <v>2500</v>
      </c>
      <c r="E653" s="29">
        <f ca="1">IFERROR(__xludf.DUMMYFUNCTION("""COMPUTED_VALUE"""),0)</f>
        <v>0</v>
      </c>
      <c r="F653" s="30">
        <f ca="1">IFERROR(__xludf.DUMMYFUNCTION("""COMPUTED_VALUE"""),0)</f>
        <v>0</v>
      </c>
      <c r="G653" s="29">
        <f ca="1">IFERROR(__xludf.DUMMYFUNCTION("""COMPUTED_VALUE"""),2500)</f>
        <v>2500</v>
      </c>
      <c r="H653" s="30">
        <f ca="1">IFERROR(__xludf.DUMMYFUNCTION("""COMPUTED_VALUE"""),1)</f>
        <v>1</v>
      </c>
      <c r="I653" s="29">
        <f ca="1">IFERROR(__xludf.DUMMYFUNCTION("""COMPUTED_VALUE"""),2000)</f>
        <v>2000</v>
      </c>
      <c r="J653" s="29">
        <f ca="1">IFERROR(__xludf.DUMMYFUNCTION("""COMPUTED_VALUE"""),1)</f>
        <v>1</v>
      </c>
      <c r="K653" s="29">
        <f ca="1">IFERROR(__xludf.DUMMYFUNCTION("""COMPUTED_VALUE"""),16000)</f>
        <v>16000</v>
      </c>
      <c r="L653" s="29">
        <f ca="1">IFERROR(__xludf.DUMMYFUNCTION("""COMPUTED_VALUE"""),8)</f>
        <v>8</v>
      </c>
      <c r="M653" s="29">
        <f ca="1">IFERROR(__xludf.DUMMYFUNCTION("""COMPUTED_VALUE"""),0)</f>
        <v>0</v>
      </c>
      <c r="N653" s="29">
        <f ca="1">IFERROR(__xludf.DUMMYFUNCTION("""COMPUTED_VALUE"""),0)</f>
        <v>0</v>
      </c>
    </row>
    <row r="654" spans="2:14" ht="12.5">
      <c r="B654" s="2" t="str">
        <f ca="1">IFERROR(__xludf.DUMMYFUNCTION("""COMPUTED_VALUE"""),"大教大附高天王寺")</f>
        <v>大教大附高天王寺</v>
      </c>
      <c r="C654" s="2" t="str">
        <f ca="1">IFERROR(__xludf.DUMMYFUNCTION("""COMPUTED_VALUE"""),"#N/A")</f>
        <v>#N/A</v>
      </c>
      <c r="D654" s="2">
        <f ca="1">IFERROR(__xludf.DUMMYFUNCTION("""COMPUTED_VALUE"""),2500)</f>
        <v>2500</v>
      </c>
      <c r="E654" s="29">
        <f ca="1">IFERROR(__xludf.DUMMYFUNCTION("""COMPUTED_VALUE"""),0)</f>
        <v>0</v>
      </c>
      <c r="F654" s="30">
        <f ca="1">IFERROR(__xludf.DUMMYFUNCTION("""COMPUTED_VALUE"""),0)</f>
        <v>0</v>
      </c>
      <c r="G654" s="29">
        <f ca="1">IFERROR(__xludf.DUMMYFUNCTION("""COMPUTED_VALUE"""),2500)</f>
        <v>2500</v>
      </c>
      <c r="H654" s="30">
        <f ca="1">IFERROR(__xludf.DUMMYFUNCTION("""COMPUTED_VALUE"""),1)</f>
        <v>1</v>
      </c>
      <c r="I654" s="29">
        <f ca="1">IFERROR(__xludf.DUMMYFUNCTION("""COMPUTED_VALUE"""),4000)</f>
        <v>4000</v>
      </c>
      <c r="J654" s="29">
        <f ca="1">IFERROR(__xludf.DUMMYFUNCTION("""COMPUTED_VALUE"""),2)</f>
        <v>2</v>
      </c>
      <c r="K654" s="29">
        <f ca="1">IFERROR(__xludf.DUMMYFUNCTION("""COMPUTED_VALUE"""),6000)</f>
        <v>6000</v>
      </c>
      <c r="L654" s="29">
        <f ca="1">IFERROR(__xludf.DUMMYFUNCTION("""COMPUTED_VALUE"""),3)</f>
        <v>3</v>
      </c>
      <c r="M654" s="29">
        <f ca="1">IFERROR(__xludf.DUMMYFUNCTION("""COMPUTED_VALUE"""),0)</f>
        <v>0</v>
      </c>
      <c r="N654" s="29">
        <f ca="1">IFERROR(__xludf.DUMMYFUNCTION("""COMPUTED_VALUE"""),0)</f>
        <v>0</v>
      </c>
    </row>
    <row r="655" spans="2:14" ht="12.5">
      <c r="B655" s="2" t="str">
        <f ca="1">IFERROR(__xludf.DUMMYFUNCTION("""COMPUTED_VALUE"""),"清水谷高")</f>
        <v>清水谷高</v>
      </c>
      <c r="C655" s="2" t="str">
        <f ca="1">IFERROR(__xludf.DUMMYFUNCTION("""COMPUTED_VALUE"""),"#N/A")</f>
        <v>#N/A</v>
      </c>
      <c r="D655" s="2">
        <f ca="1">IFERROR(__xludf.DUMMYFUNCTION("""COMPUTED_VALUE"""),5000)</f>
        <v>5000</v>
      </c>
      <c r="E655" s="29">
        <f ca="1">IFERROR(__xludf.DUMMYFUNCTION("""COMPUTED_VALUE"""),0)</f>
        <v>0</v>
      </c>
      <c r="F655" s="30">
        <f ca="1">IFERROR(__xludf.DUMMYFUNCTION("""COMPUTED_VALUE"""),0)</f>
        <v>0</v>
      </c>
      <c r="G655" s="29">
        <f ca="1">IFERROR(__xludf.DUMMYFUNCTION("""COMPUTED_VALUE"""),5000)</f>
        <v>5000</v>
      </c>
      <c r="H655" s="30">
        <f ca="1">IFERROR(__xludf.DUMMYFUNCTION("""COMPUTED_VALUE"""),2)</f>
        <v>2</v>
      </c>
      <c r="I655" s="29">
        <f ca="1">IFERROR(__xludf.DUMMYFUNCTION("""COMPUTED_VALUE"""),6000)</f>
        <v>6000</v>
      </c>
      <c r="J655" s="29">
        <f ca="1">IFERROR(__xludf.DUMMYFUNCTION("""COMPUTED_VALUE"""),3)</f>
        <v>3</v>
      </c>
      <c r="K655" s="29">
        <f ca="1">IFERROR(__xludf.DUMMYFUNCTION("""COMPUTED_VALUE"""),14000)</f>
        <v>14000</v>
      </c>
      <c r="L655" s="29">
        <f ca="1">IFERROR(__xludf.DUMMYFUNCTION("""COMPUTED_VALUE"""),7)</f>
        <v>7</v>
      </c>
      <c r="M655" s="29">
        <f ca="1">IFERROR(__xludf.DUMMYFUNCTION("""COMPUTED_VALUE"""),0)</f>
        <v>0</v>
      </c>
      <c r="N655" s="29">
        <f ca="1">IFERROR(__xludf.DUMMYFUNCTION("""COMPUTED_VALUE"""),0)</f>
        <v>0</v>
      </c>
    </row>
    <row r="656" spans="2:14" ht="12.5">
      <c r="B656" s="2" t="str">
        <f ca="1">IFERROR(__xludf.DUMMYFUNCTION("""COMPUTED_VALUE"""),"明石高")</f>
        <v>明石高</v>
      </c>
      <c r="C656" s="2" t="str">
        <f ca="1">IFERROR(__xludf.DUMMYFUNCTION("""COMPUTED_VALUE"""),"#N/A")</f>
        <v>#N/A</v>
      </c>
      <c r="D656" s="2">
        <f ca="1">IFERROR(__xludf.DUMMYFUNCTION("""COMPUTED_VALUE"""),5000)</f>
        <v>5000</v>
      </c>
      <c r="E656" s="29">
        <f ca="1">IFERROR(__xludf.DUMMYFUNCTION("""COMPUTED_VALUE"""),0)</f>
        <v>0</v>
      </c>
      <c r="F656" s="30">
        <f ca="1">IFERROR(__xludf.DUMMYFUNCTION("""COMPUTED_VALUE"""),0)</f>
        <v>0</v>
      </c>
      <c r="G656" s="29">
        <f ca="1">IFERROR(__xludf.DUMMYFUNCTION("""COMPUTED_VALUE"""),5000)</f>
        <v>5000</v>
      </c>
      <c r="H656" s="30">
        <f ca="1">IFERROR(__xludf.DUMMYFUNCTION("""COMPUTED_VALUE"""),2)</f>
        <v>2</v>
      </c>
      <c r="I656" s="29">
        <f ca="1">IFERROR(__xludf.DUMMYFUNCTION("""COMPUTED_VALUE"""),10000)</f>
        <v>10000</v>
      </c>
      <c r="J656" s="29">
        <f ca="1">IFERROR(__xludf.DUMMYFUNCTION("""COMPUTED_VALUE"""),5)</f>
        <v>5</v>
      </c>
      <c r="K656" s="29">
        <f ca="1">IFERROR(__xludf.DUMMYFUNCTION("""COMPUTED_VALUE"""),8000)</f>
        <v>8000</v>
      </c>
      <c r="L656" s="29">
        <f ca="1">IFERROR(__xludf.DUMMYFUNCTION("""COMPUTED_VALUE"""),4)</f>
        <v>4</v>
      </c>
      <c r="M656" s="29">
        <f ca="1">IFERROR(__xludf.DUMMYFUNCTION("""COMPUTED_VALUE"""),0)</f>
        <v>0</v>
      </c>
      <c r="N656" s="29">
        <f ca="1">IFERROR(__xludf.DUMMYFUNCTION("""COMPUTED_VALUE"""),0)</f>
        <v>0</v>
      </c>
    </row>
    <row r="657" spans="2:14" ht="12.5">
      <c r="B657" s="2" t="str">
        <f ca="1">IFERROR(__xludf.DUMMYFUNCTION("""COMPUTED_VALUE"""),"玉野光南高")</f>
        <v>玉野光南高</v>
      </c>
      <c r="C657" s="2" t="str">
        <f ca="1">IFERROR(__xludf.DUMMYFUNCTION("""COMPUTED_VALUE"""),"#N/A")</f>
        <v>#N/A</v>
      </c>
      <c r="D657" s="2">
        <f ca="1">IFERROR(__xludf.DUMMYFUNCTION("""COMPUTED_VALUE"""),2500)</f>
        <v>2500</v>
      </c>
      <c r="E657" s="29">
        <f ca="1">IFERROR(__xludf.DUMMYFUNCTION("""COMPUTED_VALUE"""),0)</f>
        <v>0</v>
      </c>
      <c r="F657" s="30">
        <f ca="1">IFERROR(__xludf.DUMMYFUNCTION("""COMPUTED_VALUE"""),0)</f>
        <v>0</v>
      </c>
      <c r="G657" s="29">
        <f ca="1">IFERROR(__xludf.DUMMYFUNCTION("""COMPUTED_VALUE"""),2500)</f>
        <v>2500</v>
      </c>
      <c r="H657" s="30">
        <f ca="1">IFERROR(__xludf.DUMMYFUNCTION("""COMPUTED_VALUE"""),1)</f>
        <v>1</v>
      </c>
      <c r="I657" s="29">
        <f ca="1">IFERROR(__xludf.DUMMYFUNCTION("""COMPUTED_VALUE"""),0)</f>
        <v>0</v>
      </c>
      <c r="J657" s="29">
        <f ca="1">IFERROR(__xludf.DUMMYFUNCTION("""COMPUTED_VALUE"""),0)</f>
        <v>0</v>
      </c>
      <c r="K657" s="29">
        <f ca="1">IFERROR(__xludf.DUMMYFUNCTION("""COMPUTED_VALUE"""),4000)</f>
        <v>4000</v>
      </c>
      <c r="L657" s="29">
        <f ca="1">IFERROR(__xludf.DUMMYFUNCTION("""COMPUTED_VALUE"""),2)</f>
        <v>2</v>
      </c>
      <c r="M657" s="29">
        <f ca="1">IFERROR(__xludf.DUMMYFUNCTION("""COMPUTED_VALUE"""),0)</f>
        <v>0</v>
      </c>
      <c r="N657" s="29">
        <f ca="1">IFERROR(__xludf.DUMMYFUNCTION("""COMPUTED_VALUE"""),0)</f>
        <v>0</v>
      </c>
    </row>
    <row r="658" spans="2:14" ht="12.5">
      <c r="B658" s="2" t="str">
        <f ca="1">IFERROR(__xludf.DUMMYFUNCTION("""COMPUTED_VALUE"""),"城南高")</f>
        <v>城南高</v>
      </c>
      <c r="C658" s="2" t="str">
        <f ca="1">IFERROR(__xludf.DUMMYFUNCTION("""COMPUTED_VALUE"""),"#N/A")</f>
        <v>#N/A</v>
      </c>
      <c r="D658" s="2">
        <f ca="1">IFERROR(__xludf.DUMMYFUNCTION("""COMPUTED_VALUE"""),2500)</f>
        <v>2500</v>
      </c>
      <c r="E658" s="29">
        <f ca="1">IFERROR(__xludf.DUMMYFUNCTION("""COMPUTED_VALUE"""),0)</f>
        <v>0</v>
      </c>
      <c r="F658" s="30">
        <f ca="1">IFERROR(__xludf.DUMMYFUNCTION("""COMPUTED_VALUE"""),0)</f>
        <v>0</v>
      </c>
      <c r="G658" s="29">
        <f ca="1">IFERROR(__xludf.DUMMYFUNCTION("""COMPUTED_VALUE"""),2500)</f>
        <v>2500</v>
      </c>
      <c r="H658" s="30">
        <f ca="1">IFERROR(__xludf.DUMMYFUNCTION("""COMPUTED_VALUE"""),1)</f>
        <v>1</v>
      </c>
      <c r="I658" s="29">
        <f ca="1">IFERROR(__xludf.DUMMYFUNCTION("""COMPUTED_VALUE"""),8000)</f>
        <v>8000</v>
      </c>
      <c r="J658" s="29">
        <f ca="1">IFERROR(__xludf.DUMMYFUNCTION("""COMPUTED_VALUE"""),4)</f>
        <v>4</v>
      </c>
      <c r="K658" s="29">
        <f ca="1">IFERROR(__xludf.DUMMYFUNCTION("""COMPUTED_VALUE"""),8000)</f>
        <v>8000</v>
      </c>
      <c r="L658" s="29">
        <f ca="1">IFERROR(__xludf.DUMMYFUNCTION("""COMPUTED_VALUE"""),4)</f>
        <v>4</v>
      </c>
      <c r="M658" s="29">
        <f ca="1">IFERROR(__xludf.DUMMYFUNCTION("""COMPUTED_VALUE"""),0)</f>
        <v>0</v>
      </c>
      <c r="N658" s="29">
        <f ca="1">IFERROR(__xludf.DUMMYFUNCTION("""COMPUTED_VALUE"""),0)</f>
        <v>0</v>
      </c>
    </row>
    <row r="659" spans="2:14" ht="12.5">
      <c r="B659" s="2" t="str">
        <f ca="1">IFERROR(__xludf.DUMMYFUNCTION("""COMPUTED_VALUE"""),"宇和島東高")</f>
        <v>宇和島東高</v>
      </c>
      <c r="C659" s="2" t="str">
        <f ca="1">IFERROR(__xludf.DUMMYFUNCTION("""COMPUTED_VALUE"""),"#N/A")</f>
        <v>#N/A</v>
      </c>
      <c r="D659" s="2">
        <f ca="1">IFERROR(__xludf.DUMMYFUNCTION("""COMPUTED_VALUE"""),2500)</f>
        <v>2500</v>
      </c>
      <c r="E659" s="29">
        <f ca="1">IFERROR(__xludf.DUMMYFUNCTION("""COMPUTED_VALUE"""),0)</f>
        <v>0</v>
      </c>
      <c r="F659" s="30">
        <f ca="1">IFERROR(__xludf.DUMMYFUNCTION("""COMPUTED_VALUE"""),0)</f>
        <v>0</v>
      </c>
      <c r="G659" s="29">
        <f ca="1">IFERROR(__xludf.DUMMYFUNCTION("""COMPUTED_VALUE"""),2500)</f>
        <v>2500</v>
      </c>
      <c r="H659" s="30">
        <f ca="1">IFERROR(__xludf.DUMMYFUNCTION("""COMPUTED_VALUE"""),1)</f>
        <v>1</v>
      </c>
      <c r="I659" s="29">
        <f ca="1">IFERROR(__xludf.DUMMYFUNCTION("""COMPUTED_VALUE"""),2000)</f>
        <v>2000</v>
      </c>
      <c r="J659" s="29">
        <f ca="1">IFERROR(__xludf.DUMMYFUNCTION("""COMPUTED_VALUE"""),1)</f>
        <v>1</v>
      </c>
      <c r="K659" s="29">
        <f ca="1">IFERROR(__xludf.DUMMYFUNCTION("""COMPUTED_VALUE"""),0)</f>
        <v>0</v>
      </c>
      <c r="L659" s="29">
        <f ca="1">IFERROR(__xludf.DUMMYFUNCTION("""COMPUTED_VALUE"""),0)</f>
        <v>0</v>
      </c>
      <c r="M659" s="29">
        <f ca="1">IFERROR(__xludf.DUMMYFUNCTION("""COMPUTED_VALUE"""),0)</f>
        <v>0</v>
      </c>
      <c r="N659" s="29">
        <f ca="1">IFERROR(__xludf.DUMMYFUNCTION("""COMPUTED_VALUE"""),0)</f>
        <v>0</v>
      </c>
    </row>
    <row r="660" spans="2:14" ht="12.5">
      <c r="B660" s="2" t="str">
        <f ca="1">IFERROR(__xludf.DUMMYFUNCTION("""COMPUTED_VALUE"""),"宮崎大宮高")</f>
        <v>宮崎大宮高</v>
      </c>
      <c r="C660" s="2" t="str">
        <f ca="1">IFERROR(__xludf.DUMMYFUNCTION("""COMPUTED_VALUE"""),"#N/A")</f>
        <v>#N/A</v>
      </c>
      <c r="D660" s="2">
        <f ca="1">IFERROR(__xludf.DUMMYFUNCTION("""COMPUTED_VALUE"""),2500)</f>
        <v>2500</v>
      </c>
      <c r="E660" s="29">
        <f ca="1">IFERROR(__xludf.DUMMYFUNCTION("""COMPUTED_VALUE"""),0)</f>
        <v>0</v>
      </c>
      <c r="F660" s="30">
        <f ca="1">IFERROR(__xludf.DUMMYFUNCTION("""COMPUTED_VALUE"""),0)</f>
        <v>0</v>
      </c>
      <c r="G660" s="29">
        <f ca="1">IFERROR(__xludf.DUMMYFUNCTION("""COMPUTED_VALUE"""),2500)</f>
        <v>2500</v>
      </c>
      <c r="H660" s="30">
        <f ca="1">IFERROR(__xludf.DUMMYFUNCTION("""COMPUTED_VALUE"""),1)</f>
        <v>1</v>
      </c>
      <c r="I660" s="29">
        <f ca="1">IFERROR(__xludf.DUMMYFUNCTION("""COMPUTED_VALUE"""),8000)</f>
        <v>8000</v>
      </c>
      <c r="J660" s="29">
        <f ca="1">IFERROR(__xludf.DUMMYFUNCTION("""COMPUTED_VALUE"""),4)</f>
        <v>4</v>
      </c>
      <c r="K660" s="29">
        <f ca="1">IFERROR(__xludf.DUMMYFUNCTION("""COMPUTED_VALUE"""),14000)</f>
        <v>14000</v>
      </c>
      <c r="L660" s="29">
        <f ca="1">IFERROR(__xludf.DUMMYFUNCTION("""COMPUTED_VALUE"""),7)</f>
        <v>7</v>
      </c>
      <c r="M660" s="29">
        <f ca="1">IFERROR(__xludf.DUMMYFUNCTION("""COMPUTED_VALUE"""),0)</f>
        <v>0</v>
      </c>
      <c r="N660" s="29">
        <f ca="1">IFERROR(__xludf.DUMMYFUNCTION("""COMPUTED_VALUE"""),0)</f>
        <v>0</v>
      </c>
    </row>
    <row r="661" spans="2:14" ht="12.5">
      <c r="B661" s="2" t="str">
        <f ca="1">IFERROR(__xludf.DUMMYFUNCTION("""COMPUTED_VALUE"""),"鹿角高")</f>
        <v>鹿角高</v>
      </c>
      <c r="C661" s="2" t="str">
        <f ca="1">IFERROR(__xludf.DUMMYFUNCTION("""COMPUTED_VALUE"""),"#N/A")</f>
        <v>#N/A</v>
      </c>
      <c r="D661" s="2">
        <f ca="1">IFERROR(__xludf.DUMMYFUNCTION("""COMPUTED_VALUE"""),2500)</f>
        <v>2500</v>
      </c>
      <c r="E661" s="29">
        <f ca="1">IFERROR(__xludf.DUMMYFUNCTION("""COMPUTED_VALUE"""),0)</f>
        <v>0</v>
      </c>
      <c r="F661" s="30">
        <f ca="1">IFERROR(__xludf.DUMMYFUNCTION("""COMPUTED_VALUE"""),0)</f>
        <v>0</v>
      </c>
      <c r="G661" s="29">
        <f ca="1">IFERROR(__xludf.DUMMYFUNCTION("""COMPUTED_VALUE"""),2500)</f>
        <v>2500</v>
      </c>
      <c r="H661" s="30">
        <f ca="1">IFERROR(__xludf.DUMMYFUNCTION("""COMPUTED_VALUE"""),1)</f>
        <v>1</v>
      </c>
      <c r="I661" s="29">
        <f ca="1">IFERROR(__xludf.DUMMYFUNCTION("""COMPUTED_VALUE"""),0)</f>
        <v>0</v>
      </c>
      <c r="J661" s="29">
        <f ca="1">IFERROR(__xludf.DUMMYFUNCTION("""COMPUTED_VALUE"""),0)</f>
        <v>0</v>
      </c>
      <c r="K661" s="29">
        <f ca="1">IFERROR(__xludf.DUMMYFUNCTION("""COMPUTED_VALUE"""),0)</f>
        <v>0</v>
      </c>
      <c r="L661" s="29">
        <f ca="1">IFERROR(__xludf.DUMMYFUNCTION("""COMPUTED_VALUE"""),0)</f>
        <v>0</v>
      </c>
      <c r="M661" s="29">
        <f ca="1">IFERROR(__xludf.DUMMYFUNCTION("""COMPUTED_VALUE"""),0)</f>
        <v>0</v>
      </c>
      <c r="N661" s="29">
        <f ca="1">IFERROR(__xludf.DUMMYFUNCTION("""COMPUTED_VALUE"""),0)</f>
        <v>0</v>
      </c>
    </row>
    <row r="662" spans="2:14" ht="12.5">
      <c r="B662" s="2" t="str">
        <f ca="1">IFERROR(__xludf.DUMMYFUNCTION("""COMPUTED_VALUE"""),"日野台高")</f>
        <v>日野台高</v>
      </c>
      <c r="C662" s="2" t="str">
        <f ca="1">IFERROR(__xludf.DUMMYFUNCTION("""COMPUTED_VALUE"""),"#N/A")</f>
        <v>#N/A</v>
      </c>
      <c r="D662" s="2">
        <f ca="1">IFERROR(__xludf.DUMMYFUNCTION("""COMPUTED_VALUE"""),2500)</f>
        <v>2500</v>
      </c>
      <c r="E662" s="29">
        <f ca="1">IFERROR(__xludf.DUMMYFUNCTION("""COMPUTED_VALUE"""),0)</f>
        <v>0</v>
      </c>
      <c r="F662" s="30">
        <f ca="1">IFERROR(__xludf.DUMMYFUNCTION("""COMPUTED_VALUE"""),0)</f>
        <v>0</v>
      </c>
      <c r="G662" s="29">
        <f ca="1">IFERROR(__xludf.DUMMYFUNCTION("""COMPUTED_VALUE"""),2500)</f>
        <v>2500</v>
      </c>
      <c r="H662" s="30">
        <f ca="1">IFERROR(__xludf.DUMMYFUNCTION("""COMPUTED_VALUE"""),1)</f>
        <v>1</v>
      </c>
      <c r="I662" s="29">
        <f ca="1">IFERROR(__xludf.DUMMYFUNCTION("""COMPUTED_VALUE"""),0)</f>
        <v>0</v>
      </c>
      <c r="J662" s="29">
        <f ca="1">IFERROR(__xludf.DUMMYFUNCTION("""COMPUTED_VALUE"""),0)</f>
        <v>0</v>
      </c>
      <c r="K662" s="29">
        <f ca="1">IFERROR(__xludf.DUMMYFUNCTION("""COMPUTED_VALUE"""),0)</f>
        <v>0</v>
      </c>
      <c r="L662" s="29">
        <f ca="1">IFERROR(__xludf.DUMMYFUNCTION("""COMPUTED_VALUE"""),0)</f>
        <v>0</v>
      </c>
      <c r="M662" s="29">
        <f ca="1">IFERROR(__xludf.DUMMYFUNCTION("""COMPUTED_VALUE"""),0)</f>
        <v>0</v>
      </c>
      <c r="N662" s="29">
        <f ca="1">IFERROR(__xludf.DUMMYFUNCTION("""COMPUTED_VALUE"""),0)</f>
        <v>0</v>
      </c>
    </row>
    <row r="663" spans="2:14" ht="12.5">
      <c r="B663" s="2" t="str">
        <f ca="1">IFERROR(__xludf.DUMMYFUNCTION("""COMPUTED_VALUE"""),"横浜ｻｲｴﾝｽﾌﾛﾝﾃｨｱ高")</f>
        <v>横浜ｻｲｴﾝｽﾌﾛﾝﾃｨｱ高</v>
      </c>
      <c r="C663" s="2" t="str">
        <f ca="1">IFERROR(__xludf.DUMMYFUNCTION("""COMPUTED_VALUE"""),"#N/A")</f>
        <v>#N/A</v>
      </c>
      <c r="D663" s="2">
        <f ca="1">IFERROR(__xludf.DUMMYFUNCTION("""COMPUTED_VALUE"""),2500)</f>
        <v>2500</v>
      </c>
      <c r="E663" s="29">
        <f ca="1">IFERROR(__xludf.DUMMYFUNCTION("""COMPUTED_VALUE"""),0)</f>
        <v>0</v>
      </c>
      <c r="F663" s="30">
        <f ca="1">IFERROR(__xludf.DUMMYFUNCTION("""COMPUTED_VALUE"""),0)</f>
        <v>0</v>
      </c>
      <c r="G663" s="29">
        <f ca="1">IFERROR(__xludf.DUMMYFUNCTION("""COMPUTED_VALUE"""),2500)</f>
        <v>2500</v>
      </c>
      <c r="H663" s="30">
        <f ca="1">IFERROR(__xludf.DUMMYFUNCTION("""COMPUTED_VALUE"""),1)</f>
        <v>1</v>
      </c>
      <c r="I663" s="29">
        <f ca="1">IFERROR(__xludf.DUMMYFUNCTION("""COMPUTED_VALUE"""),4000)</f>
        <v>4000</v>
      </c>
      <c r="J663" s="29">
        <f ca="1">IFERROR(__xludf.DUMMYFUNCTION("""COMPUTED_VALUE"""),2)</f>
        <v>2</v>
      </c>
      <c r="K663" s="29">
        <f ca="1">IFERROR(__xludf.DUMMYFUNCTION("""COMPUTED_VALUE"""),0)</f>
        <v>0</v>
      </c>
      <c r="L663" s="29">
        <f ca="1">IFERROR(__xludf.DUMMYFUNCTION("""COMPUTED_VALUE"""),0)</f>
        <v>0</v>
      </c>
      <c r="M663" s="29">
        <f ca="1">IFERROR(__xludf.DUMMYFUNCTION("""COMPUTED_VALUE"""),0)</f>
        <v>0</v>
      </c>
      <c r="N663" s="29">
        <f ca="1">IFERROR(__xludf.DUMMYFUNCTION("""COMPUTED_VALUE"""),0)</f>
        <v>0</v>
      </c>
    </row>
    <row r="664" spans="2:14" ht="12.5">
      <c r="B664" s="2" t="str">
        <f ca="1">IFERROR(__xludf.DUMMYFUNCTION("""COMPUTED_VALUE"""),"星稜高")</f>
        <v>星稜高</v>
      </c>
      <c r="C664" s="2" t="str">
        <f ca="1">IFERROR(__xludf.DUMMYFUNCTION("""COMPUTED_VALUE"""),"#N/A")</f>
        <v>#N/A</v>
      </c>
      <c r="D664" s="2">
        <f ca="1">IFERROR(__xludf.DUMMYFUNCTION("""COMPUTED_VALUE"""),2500)</f>
        <v>2500</v>
      </c>
      <c r="E664" s="29">
        <f ca="1">IFERROR(__xludf.DUMMYFUNCTION("""COMPUTED_VALUE"""),0)</f>
        <v>0</v>
      </c>
      <c r="F664" s="30">
        <f ca="1">IFERROR(__xludf.DUMMYFUNCTION("""COMPUTED_VALUE"""),0)</f>
        <v>0</v>
      </c>
      <c r="G664" s="29">
        <f ca="1">IFERROR(__xludf.DUMMYFUNCTION("""COMPUTED_VALUE"""),2500)</f>
        <v>2500</v>
      </c>
      <c r="H664" s="30">
        <f ca="1">IFERROR(__xludf.DUMMYFUNCTION("""COMPUTED_VALUE"""),1)</f>
        <v>1</v>
      </c>
      <c r="I664" s="29">
        <f ca="1">IFERROR(__xludf.DUMMYFUNCTION("""COMPUTED_VALUE"""),0)</f>
        <v>0</v>
      </c>
      <c r="J664" s="29">
        <f ca="1">IFERROR(__xludf.DUMMYFUNCTION("""COMPUTED_VALUE"""),0)</f>
        <v>0</v>
      </c>
      <c r="K664" s="29">
        <f ca="1">IFERROR(__xludf.DUMMYFUNCTION("""COMPUTED_VALUE"""),0)</f>
        <v>0</v>
      </c>
      <c r="L664" s="29">
        <f ca="1">IFERROR(__xludf.DUMMYFUNCTION("""COMPUTED_VALUE"""),0)</f>
        <v>0</v>
      </c>
      <c r="M664" s="29">
        <f ca="1">IFERROR(__xludf.DUMMYFUNCTION("""COMPUTED_VALUE"""),0)</f>
        <v>0</v>
      </c>
      <c r="N664" s="29">
        <f ca="1">IFERROR(__xludf.DUMMYFUNCTION("""COMPUTED_VALUE"""),0)</f>
        <v>0</v>
      </c>
    </row>
    <row r="665" spans="2:14" ht="12.5">
      <c r="B665" s="2" t="str">
        <f ca="1">IFERROR(__xludf.DUMMYFUNCTION("""COMPUTED_VALUE"""),"松本深志高")</f>
        <v>松本深志高</v>
      </c>
      <c r="C665" s="2" t="str">
        <f ca="1">IFERROR(__xludf.DUMMYFUNCTION("""COMPUTED_VALUE"""),"#N/A")</f>
        <v>#N/A</v>
      </c>
      <c r="D665" s="2">
        <f ca="1">IFERROR(__xludf.DUMMYFUNCTION("""COMPUTED_VALUE"""),2500)</f>
        <v>2500</v>
      </c>
      <c r="E665" s="29">
        <f ca="1">IFERROR(__xludf.DUMMYFUNCTION("""COMPUTED_VALUE"""),0)</f>
        <v>0</v>
      </c>
      <c r="F665" s="30">
        <f ca="1">IFERROR(__xludf.DUMMYFUNCTION("""COMPUTED_VALUE"""),0)</f>
        <v>0</v>
      </c>
      <c r="G665" s="29">
        <f ca="1">IFERROR(__xludf.DUMMYFUNCTION("""COMPUTED_VALUE"""),2500)</f>
        <v>2500</v>
      </c>
      <c r="H665" s="30">
        <f ca="1">IFERROR(__xludf.DUMMYFUNCTION("""COMPUTED_VALUE"""),1)</f>
        <v>1</v>
      </c>
      <c r="I665" s="29">
        <f ca="1">IFERROR(__xludf.DUMMYFUNCTION("""COMPUTED_VALUE"""),8000)</f>
        <v>8000</v>
      </c>
      <c r="J665" s="29">
        <f ca="1">IFERROR(__xludf.DUMMYFUNCTION("""COMPUTED_VALUE"""),4)</f>
        <v>4</v>
      </c>
      <c r="K665" s="29">
        <f ca="1">IFERROR(__xludf.DUMMYFUNCTION("""COMPUTED_VALUE"""),8000)</f>
        <v>8000</v>
      </c>
      <c r="L665" s="29">
        <f ca="1">IFERROR(__xludf.DUMMYFUNCTION("""COMPUTED_VALUE"""),4)</f>
        <v>4</v>
      </c>
      <c r="M665" s="29">
        <f ca="1">IFERROR(__xludf.DUMMYFUNCTION("""COMPUTED_VALUE"""),0)</f>
        <v>0</v>
      </c>
      <c r="N665" s="29">
        <f ca="1">IFERROR(__xludf.DUMMYFUNCTION("""COMPUTED_VALUE"""),0)</f>
        <v>0</v>
      </c>
    </row>
    <row r="666" spans="2:14" ht="12.5">
      <c r="B666" s="2" t="str">
        <f ca="1">IFERROR(__xludf.DUMMYFUNCTION("""COMPUTED_VALUE"""),"岐阜高")</f>
        <v>岐阜高</v>
      </c>
      <c r="C666" s="2" t="str">
        <f ca="1">IFERROR(__xludf.DUMMYFUNCTION("""COMPUTED_VALUE"""),"#N/A")</f>
        <v>#N/A</v>
      </c>
      <c r="D666" s="2">
        <f ca="1">IFERROR(__xludf.DUMMYFUNCTION("""COMPUTED_VALUE"""),2500)</f>
        <v>2500</v>
      </c>
      <c r="E666" s="29">
        <f ca="1">IFERROR(__xludf.DUMMYFUNCTION("""COMPUTED_VALUE"""),0)</f>
        <v>0</v>
      </c>
      <c r="F666" s="30">
        <f ca="1">IFERROR(__xludf.DUMMYFUNCTION("""COMPUTED_VALUE"""),0)</f>
        <v>0</v>
      </c>
      <c r="G666" s="29">
        <f ca="1">IFERROR(__xludf.DUMMYFUNCTION("""COMPUTED_VALUE"""),2500)</f>
        <v>2500</v>
      </c>
      <c r="H666" s="30">
        <f ca="1">IFERROR(__xludf.DUMMYFUNCTION("""COMPUTED_VALUE"""),1)</f>
        <v>1</v>
      </c>
      <c r="I666" s="29">
        <f ca="1">IFERROR(__xludf.DUMMYFUNCTION("""COMPUTED_VALUE"""),6000)</f>
        <v>6000</v>
      </c>
      <c r="J666" s="29">
        <f ca="1">IFERROR(__xludf.DUMMYFUNCTION("""COMPUTED_VALUE"""),3)</f>
        <v>3</v>
      </c>
      <c r="K666" s="29">
        <f ca="1">IFERROR(__xludf.DUMMYFUNCTION("""COMPUTED_VALUE"""),2000)</f>
        <v>2000</v>
      </c>
      <c r="L666" s="29">
        <f ca="1">IFERROR(__xludf.DUMMYFUNCTION("""COMPUTED_VALUE"""),1)</f>
        <v>1</v>
      </c>
      <c r="M666" s="29">
        <f ca="1">IFERROR(__xludf.DUMMYFUNCTION("""COMPUTED_VALUE"""),0)</f>
        <v>0</v>
      </c>
      <c r="N666" s="29">
        <f ca="1">IFERROR(__xludf.DUMMYFUNCTION("""COMPUTED_VALUE"""),0)</f>
        <v>0</v>
      </c>
    </row>
    <row r="667" spans="2:14" ht="12.5">
      <c r="B667" s="2" t="str">
        <f ca="1">IFERROR(__xludf.DUMMYFUNCTION("""COMPUTED_VALUE"""),"南山高女子部")</f>
        <v>南山高女子部</v>
      </c>
      <c r="C667" s="2" t="str">
        <f ca="1">IFERROR(__xludf.DUMMYFUNCTION("""COMPUTED_VALUE"""),"#N/A")</f>
        <v>#N/A</v>
      </c>
      <c r="D667" s="2">
        <f ca="1">IFERROR(__xludf.DUMMYFUNCTION("""COMPUTED_VALUE"""),2500)</f>
        <v>2500</v>
      </c>
      <c r="E667" s="29">
        <f ca="1">IFERROR(__xludf.DUMMYFUNCTION("""COMPUTED_VALUE"""),0)</f>
        <v>0</v>
      </c>
      <c r="F667" s="30">
        <f ca="1">IFERROR(__xludf.DUMMYFUNCTION("""COMPUTED_VALUE"""),0)</f>
        <v>0</v>
      </c>
      <c r="G667" s="29">
        <f ca="1">IFERROR(__xludf.DUMMYFUNCTION("""COMPUTED_VALUE"""),2500)</f>
        <v>2500</v>
      </c>
      <c r="H667" s="30">
        <f ca="1">IFERROR(__xludf.DUMMYFUNCTION("""COMPUTED_VALUE"""),1)</f>
        <v>1</v>
      </c>
      <c r="I667" s="29">
        <f ca="1">IFERROR(__xludf.DUMMYFUNCTION("""COMPUTED_VALUE"""),2000)</f>
        <v>2000</v>
      </c>
      <c r="J667" s="29">
        <f ca="1">IFERROR(__xludf.DUMMYFUNCTION("""COMPUTED_VALUE"""),1)</f>
        <v>1</v>
      </c>
      <c r="K667" s="29">
        <f ca="1">IFERROR(__xludf.DUMMYFUNCTION("""COMPUTED_VALUE"""),0)</f>
        <v>0</v>
      </c>
      <c r="L667" s="29">
        <f ca="1">IFERROR(__xludf.DUMMYFUNCTION("""COMPUTED_VALUE"""),0)</f>
        <v>0</v>
      </c>
      <c r="M667" s="29">
        <f ca="1">IFERROR(__xludf.DUMMYFUNCTION("""COMPUTED_VALUE"""),0)</f>
        <v>0</v>
      </c>
      <c r="N667" s="29">
        <f ca="1">IFERROR(__xludf.DUMMYFUNCTION("""COMPUTED_VALUE"""),0)</f>
        <v>0</v>
      </c>
    </row>
    <row r="668" spans="2:14" ht="12.5">
      <c r="B668" s="2" t="str">
        <f ca="1">IFERROR(__xludf.DUMMYFUNCTION("""COMPUTED_VALUE"""),"茨木高")</f>
        <v>茨木高</v>
      </c>
      <c r="C668" s="2" t="str">
        <f ca="1">IFERROR(__xludf.DUMMYFUNCTION("""COMPUTED_VALUE"""),"#N/A")</f>
        <v>#N/A</v>
      </c>
      <c r="D668" s="2">
        <f ca="1">IFERROR(__xludf.DUMMYFUNCTION("""COMPUTED_VALUE"""),2500)</f>
        <v>2500</v>
      </c>
      <c r="E668" s="29">
        <f ca="1">IFERROR(__xludf.DUMMYFUNCTION("""COMPUTED_VALUE"""),0)</f>
        <v>0</v>
      </c>
      <c r="F668" s="30">
        <f ca="1">IFERROR(__xludf.DUMMYFUNCTION("""COMPUTED_VALUE"""),0)</f>
        <v>0</v>
      </c>
      <c r="G668" s="29">
        <f ca="1">IFERROR(__xludf.DUMMYFUNCTION("""COMPUTED_VALUE"""),2500)</f>
        <v>2500</v>
      </c>
      <c r="H668" s="30">
        <f ca="1">IFERROR(__xludf.DUMMYFUNCTION("""COMPUTED_VALUE"""),1)</f>
        <v>1</v>
      </c>
      <c r="I668" s="29">
        <f ca="1">IFERROR(__xludf.DUMMYFUNCTION("""COMPUTED_VALUE"""),0)</f>
        <v>0</v>
      </c>
      <c r="J668" s="29">
        <f ca="1">IFERROR(__xludf.DUMMYFUNCTION("""COMPUTED_VALUE"""),0)</f>
        <v>0</v>
      </c>
      <c r="K668" s="29">
        <f ca="1">IFERROR(__xludf.DUMMYFUNCTION("""COMPUTED_VALUE"""),6000)</f>
        <v>6000</v>
      </c>
      <c r="L668" s="29">
        <f ca="1">IFERROR(__xludf.DUMMYFUNCTION("""COMPUTED_VALUE"""),3)</f>
        <v>3</v>
      </c>
      <c r="M668" s="29">
        <f ca="1">IFERROR(__xludf.DUMMYFUNCTION("""COMPUTED_VALUE"""),0)</f>
        <v>0</v>
      </c>
      <c r="N668" s="29">
        <f ca="1">IFERROR(__xludf.DUMMYFUNCTION("""COMPUTED_VALUE"""),0)</f>
        <v>0</v>
      </c>
    </row>
    <row r="669" spans="2:14" ht="12.5">
      <c r="B669" s="2" t="str">
        <f ca="1">IFERROR(__xludf.DUMMYFUNCTION("""COMPUTED_VALUE"""),"桐蔭高")</f>
        <v>桐蔭高</v>
      </c>
      <c r="C669" s="2" t="str">
        <f ca="1">IFERROR(__xludf.DUMMYFUNCTION("""COMPUTED_VALUE"""),"#N/A")</f>
        <v>#N/A</v>
      </c>
      <c r="D669" s="2">
        <f ca="1">IFERROR(__xludf.DUMMYFUNCTION("""COMPUTED_VALUE"""),2500)</f>
        <v>2500</v>
      </c>
      <c r="E669" s="29">
        <f ca="1">IFERROR(__xludf.DUMMYFUNCTION("""COMPUTED_VALUE"""),0)</f>
        <v>0</v>
      </c>
      <c r="F669" s="30">
        <f ca="1">IFERROR(__xludf.DUMMYFUNCTION("""COMPUTED_VALUE"""),0)</f>
        <v>0</v>
      </c>
      <c r="G669" s="29">
        <f ca="1">IFERROR(__xludf.DUMMYFUNCTION("""COMPUTED_VALUE"""),2500)</f>
        <v>2500</v>
      </c>
      <c r="H669" s="30">
        <f ca="1">IFERROR(__xludf.DUMMYFUNCTION("""COMPUTED_VALUE"""),1)</f>
        <v>1</v>
      </c>
      <c r="I669" s="29">
        <f ca="1">IFERROR(__xludf.DUMMYFUNCTION("""COMPUTED_VALUE"""),4000)</f>
        <v>4000</v>
      </c>
      <c r="J669" s="29">
        <f ca="1">IFERROR(__xludf.DUMMYFUNCTION("""COMPUTED_VALUE"""),2)</f>
        <v>2</v>
      </c>
      <c r="K669" s="29">
        <f ca="1">IFERROR(__xludf.DUMMYFUNCTION("""COMPUTED_VALUE"""),8000)</f>
        <v>8000</v>
      </c>
      <c r="L669" s="29">
        <f ca="1">IFERROR(__xludf.DUMMYFUNCTION("""COMPUTED_VALUE"""),4)</f>
        <v>4</v>
      </c>
      <c r="M669" s="29">
        <f ca="1">IFERROR(__xludf.DUMMYFUNCTION("""COMPUTED_VALUE"""),0)</f>
        <v>0</v>
      </c>
      <c r="N669" s="29">
        <f ca="1">IFERROR(__xludf.DUMMYFUNCTION("""COMPUTED_VALUE"""),0)</f>
        <v>0</v>
      </c>
    </row>
    <row r="670" spans="2:14" ht="12.5">
      <c r="B670" s="2" t="str">
        <f ca="1">IFERROR(__xludf.DUMMYFUNCTION("""COMPUTED_VALUE"""),"尾道高")</f>
        <v>尾道高</v>
      </c>
      <c r="C670" s="2" t="str">
        <f ca="1">IFERROR(__xludf.DUMMYFUNCTION("""COMPUTED_VALUE"""),"#N/A")</f>
        <v>#N/A</v>
      </c>
      <c r="D670" s="2">
        <f ca="1">IFERROR(__xludf.DUMMYFUNCTION("""COMPUTED_VALUE"""),2500)</f>
        <v>2500</v>
      </c>
      <c r="E670" s="29">
        <f ca="1">IFERROR(__xludf.DUMMYFUNCTION("""COMPUTED_VALUE"""),0)</f>
        <v>0</v>
      </c>
      <c r="F670" s="30">
        <f ca="1">IFERROR(__xludf.DUMMYFUNCTION("""COMPUTED_VALUE"""),0)</f>
        <v>0</v>
      </c>
      <c r="G670" s="29">
        <f ca="1">IFERROR(__xludf.DUMMYFUNCTION("""COMPUTED_VALUE"""),2500)</f>
        <v>2500</v>
      </c>
      <c r="H670" s="30">
        <f ca="1">IFERROR(__xludf.DUMMYFUNCTION("""COMPUTED_VALUE"""),1)</f>
        <v>1</v>
      </c>
      <c r="I670" s="29">
        <f ca="1">IFERROR(__xludf.DUMMYFUNCTION("""COMPUTED_VALUE"""),6000)</f>
        <v>6000</v>
      </c>
      <c r="J670" s="29">
        <f ca="1">IFERROR(__xludf.DUMMYFUNCTION("""COMPUTED_VALUE"""),3)</f>
        <v>3</v>
      </c>
      <c r="K670" s="29">
        <f ca="1">IFERROR(__xludf.DUMMYFUNCTION("""COMPUTED_VALUE"""),4000)</f>
        <v>4000</v>
      </c>
      <c r="L670" s="29">
        <f ca="1">IFERROR(__xludf.DUMMYFUNCTION("""COMPUTED_VALUE"""),2)</f>
        <v>2</v>
      </c>
      <c r="M670" s="29">
        <f ca="1">IFERROR(__xludf.DUMMYFUNCTION("""COMPUTED_VALUE"""),0)</f>
        <v>0</v>
      </c>
      <c r="N670" s="29">
        <f ca="1">IFERROR(__xludf.DUMMYFUNCTION("""COMPUTED_VALUE"""),0)</f>
        <v>0</v>
      </c>
    </row>
    <row r="671" spans="2:14" ht="12.5">
      <c r="B671" s="2" t="str">
        <f ca="1">IFERROR(__xludf.DUMMYFUNCTION("""COMPUTED_VALUE"""),"修猷館高")</f>
        <v>修猷館高</v>
      </c>
      <c r="C671" s="2" t="str">
        <f ca="1">IFERROR(__xludf.DUMMYFUNCTION("""COMPUTED_VALUE"""),"#N/A")</f>
        <v>#N/A</v>
      </c>
      <c r="D671" s="2">
        <f ca="1">IFERROR(__xludf.DUMMYFUNCTION("""COMPUTED_VALUE"""),2500)</f>
        <v>2500</v>
      </c>
      <c r="E671" s="29">
        <f ca="1">IFERROR(__xludf.DUMMYFUNCTION("""COMPUTED_VALUE"""),0)</f>
        <v>0</v>
      </c>
      <c r="F671" s="30">
        <f ca="1">IFERROR(__xludf.DUMMYFUNCTION("""COMPUTED_VALUE"""),0)</f>
        <v>0</v>
      </c>
      <c r="G671" s="29">
        <f ca="1">IFERROR(__xludf.DUMMYFUNCTION("""COMPUTED_VALUE"""),2500)</f>
        <v>2500</v>
      </c>
      <c r="H671" s="30">
        <f ca="1">IFERROR(__xludf.DUMMYFUNCTION("""COMPUTED_VALUE"""),1)</f>
        <v>1</v>
      </c>
      <c r="I671" s="29">
        <f ca="1">IFERROR(__xludf.DUMMYFUNCTION("""COMPUTED_VALUE"""),6000)</f>
        <v>6000</v>
      </c>
      <c r="J671" s="29">
        <f ca="1">IFERROR(__xludf.DUMMYFUNCTION("""COMPUTED_VALUE"""),3)</f>
        <v>3</v>
      </c>
      <c r="K671" s="29">
        <f ca="1">IFERROR(__xludf.DUMMYFUNCTION("""COMPUTED_VALUE"""),0)</f>
        <v>0</v>
      </c>
      <c r="L671" s="29">
        <f ca="1">IFERROR(__xludf.DUMMYFUNCTION("""COMPUTED_VALUE"""),0)</f>
        <v>0</v>
      </c>
      <c r="M671" s="29">
        <f ca="1">IFERROR(__xludf.DUMMYFUNCTION("""COMPUTED_VALUE"""),0)</f>
        <v>0</v>
      </c>
      <c r="N671" s="29">
        <f ca="1">IFERROR(__xludf.DUMMYFUNCTION("""COMPUTED_VALUE"""),0)</f>
        <v>0</v>
      </c>
    </row>
    <row r="672" spans="2:14" ht="12.5">
      <c r="B672" s="2" t="str">
        <f ca="1">IFERROR(__xludf.DUMMYFUNCTION("""COMPUTED_VALUE"""),"鹿本高")</f>
        <v>鹿本高</v>
      </c>
      <c r="C672" s="2" t="str">
        <f ca="1">IFERROR(__xludf.DUMMYFUNCTION("""COMPUTED_VALUE"""),"#N/A")</f>
        <v>#N/A</v>
      </c>
      <c r="D672" s="2">
        <f ca="1">IFERROR(__xludf.DUMMYFUNCTION("""COMPUTED_VALUE"""),2500)</f>
        <v>2500</v>
      </c>
      <c r="E672" s="29">
        <f ca="1">IFERROR(__xludf.DUMMYFUNCTION("""COMPUTED_VALUE"""),0)</f>
        <v>0</v>
      </c>
      <c r="F672" s="30">
        <f ca="1">IFERROR(__xludf.DUMMYFUNCTION("""COMPUTED_VALUE"""),0)</f>
        <v>0</v>
      </c>
      <c r="G672" s="29">
        <f ca="1">IFERROR(__xludf.DUMMYFUNCTION("""COMPUTED_VALUE"""),2500)</f>
        <v>2500</v>
      </c>
      <c r="H672" s="30">
        <f ca="1">IFERROR(__xludf.DUMMYFUNCTION("""COMPUTED_VALUE"""),1)</f>
        <v>1</v>
      </c>
      <c r="I672" s="29">
        <f ca="1">IFERROR(__xludf.DUMMYFUNCTION("""COMPUTED_VALUE"""),0)</f>
        <v>0</v>
      </c>
      <c r="J672" s="29">
        <f ca="1">IFERROR(__xludf.DUMMYFUNCTION("""COMPUTED_VALUE"""),0)</f>
        <v>0</v>
      </c>
      <c r="K672" s="29">
        <f ca="1">IFERROR(__xludf.DUMMYFUNCTION("""COMPUTED_VALUE"""),2000)</f>
        <v>2000</v>
      </c>
      <c r="L672" s="29">
        <f ca="1">IFERROR(__xludf.DUMMYFUNCTION("""COMPUTED_VALUE"""),1)</f>
        <v>1</v>
      </c>
      <c r="M672" s="29">
        <f ca="1">IFERROR(__xludf.DUMMYFUNCTION("""COMPUTED_VALUE"""),0)</f>
        <v>0</v>
      </c>
      <c r="N672" s="29">
        <f ca="1">IFERROR(__xludf.DUMMYFUNCTION("""COMPUTED_VALUE"""),0)</f>
        <v>0</v>
      </c>
    </row>
    <row r="673" spans="2:14" ht="12.5">
      <c r="B673" s="2" t="str">
        <f ca="1">IFERROR(__xludf.DUMMYFUNCTION("""COMPUTED_VALUE"""),"富山第一高")</f>
        <v>富山第一高</v>
      </c>
      <c r="C673" s="2" t="str">
        <f ca="1">IFERROR(__xludf.DUMMYFUNCTION("""COMPUTED_VALUE"""),"#N/A")</f>
        <v>#N/A</v>
      </c>
      <c r="D673" s="2">
        <f ca="1">IFERROR(__xludf.DUMMYFUNCTION("""COMPUTED_VALUE"""),2500)</f>
        <v>2500</v>
      </c>
      <c r="E673" s="29">
        <f ca="1">IFERROR(__xludf.DUMMYFUNCTION("""COMPUTED_VALUE"""),0)</f>
        <v>0</v>
      </c>
      <c r="F673" s="30">
        <f ca="1">IFERROR(__xludf.DUMMYFUNCTION("""COMPUTED_VALUE"""),0)</f>
        <v>0</v>
      </c>
      <c r="G673" s="29">
        <f ca="1">IFERROR(__xludf.DUMMYFUNCTION("""COMPUTED_VALUE"""),2500)</f>
        <v>2500</v>
      </c>
      <c r="H673" s="30">
        <f ca="1">IFERROR(__xludf.DUMMYFUNCTION("""COMPUTED_VALUE"""),1)</f>
        <v>1</v>
      </c>
      <c r="I673" s="29">
        <f ca="1">IFERROR(__xludf.DUMMYFUNCTION("""COMPUTED_VALUE"""),0)</f>
        <v>0</v>
      </c>
      <c r="J673" s="29">
        <f ca="1">IFERROR(__xludf.DUMMYFUNCTION("""COMPUTED_VALUE"""),0)</f>
        <v>0</v>
      </c>
      <c r="K673" s="29">
        <f ca="1">IFERROR(__xludf.DUMMYFUNCTION("""COMPUTED_VALUE"""),0)</f>
        <v>0</v>
      </c>
      <c r="L673" s="29">
        <f ca="1">IFERROR(__xludf.DUMMYFUNCTION("""COMPUTED_VALUE"""),0)</f>
        <v>0</v>
      </c>
      <c r="M673" s="29">
        <f ca="1">IFERROR(__xludf.DUMMYFUNCTION("""COMPUTED_VALUE"""),0)</f>
        <v>0</v>
      </c>
      <c r="N673" s="29">
        <f ca="1">IFERROR(__xludf.DUMMYFUNCTION("""COMPUTED_VALUE"""),0)</f>
        <v>0</v>
      </c>
    </row>
    <row r="674" spans="2:14" ht="12.5">
      <c r="B674" s="2" t="str">
        <f ca="1">IFERROR(__xludf.DUMMYFUNCTION("""COMPUTED_VALUE"""),"晴海総合高")</f>
        <v>晴海総合高</v>
      </c>
      <c r="C674" s="2" t="str">
        <f ca="1">IFERROR(__xludf.DUMMYFUNCTION("""COMPUTED_VALUE"""),"#N/A")</f>
        <v>#N/A</v>
      </c>
      <c r="D674" s="2">
        <f ca="1">IFERROR(__xludf.DUMMYFUNCTION("""COMPUTED_VALUE"""),0)</f>
        <v>0</v>
      </c>
      <c r="E674" s="29">
        <f ca="1">IFERROR(__xludf.DUMMYFUNCTION("""COMPUTED_VALUE"""),0)</f>
        <v>0</v>
      </c>
      <c r="F674" s="30">
        <f ca="1">IFERROR(__xludf.DUMMYFUNCTION("""COMPUTED_VALUE"""),0)</f>
        <v>0</v>
      </c>
      <c r="G674" s="29">
        <f ca="1">IFERROR(__xludf.DUMMYFUNCTION("""COMPUTED_VALUE"""),0)</f>
        <v>0</v>
      </c>
      <c r="H674" s="30">
        <f ca="1">IFERROR(__xludf.DUMMYFUNCTION("""COMPUTED_VALUE"""),0)</f>
        <v>0</v>
      </c>
      <c r="I674" s="29">
        <f ca="1">IFERROR(__xludf.DUMMYFUNCTION("""COMPUTED_VALUE"""),2000)</f>
        <v>2000</v>
      </c>
      <c r="J674" s="29">
        <f ca="1">IFERROR(__xludf.DUMMYFUNCTION("""COMPUTED_VALUE"""),1)</f>
        <v>1</v>
      </c>
      <c r="K674" s="29">
        <f ca="1">IFERROR(__xludf.DUMMYFUNCTION("""COMPUTED_VALUE"""),0)</f>
        <v>0</v>
      </c>
      <c r="L674" s="29">
        <f ca="1">IFERROR(__xludf.DUMMYFUNCTION("""COMPUTED_VALUE"""),0)</f>
        <v>0</v>
      </c>
      <c r="M674" s="29">
        <f ca="1">IFERROR(__xludf.DUMMYFUNCTION("""COMPUTED_VALUE"""),0)</f>
        <v>0</v>
      </c>
      <c r="N674" s="29">
        <f ca="1">IFERROR(__xludf.DUMMYFUNCTION("""COMPUTED_VALUE"""),0)</f>
        <v>0</v>
      </c>
    </row>
    <row r="675" spans="2:14" ht="12.5">
      <c r="B675" s="2" t="str">
        <f ca="1">IFERROR(__xludf.DUMMYFUNCTION("""COMPUTED_VALUE"""),"横浜雙葉高")</f>
        <v>横浜雙葉高</v>
      </c>
      <c r="C675" s="2" t="str">
        <f ca="1">IFERROR(__xludf.DUMMYFUNCTION("""COMPUTED_VALUE"""),"#N/A")</f>
        <v>#N/A</v>
      </c>
      <c r="D675" s="2">
        <f ca="1">IFERROR(__xludf.DUMMYFUNCTION("""COMPUTED_VALUE"""),0)</f>
        <v>0</v>
      </c>
      <c r="E675" s="29">
        <f ca="1">IFERROR(__xludf.DUMMYFUNCTION("""COMPUTED_VALUE"""),0)</f>
        <v>0</v>
      </c>
      <c r="F675" s="30">
        <f ca="1">IFERROR(__xludf.DUMMYFUNCTION("""COMPUTED_VALUE"""),0)</f>
        <v>0</v>
      </c>
      <c r="G675" s="29">
        <f ca="1">IFERROR(__xludf.DUMMYFUNCTION("""COMPUTED_VALUE"""),0)</f>
        <v>0</v>
      </c>
      <c r="H675" s="30">
        <f ca="1">IFERROR(__xludf.DUMMYFUNCTION("""COMPUTED_VALUE"""),0)</f>
        <v>0</v>
      </c>
      <c r="I675" s="29">
        <f ca="1">IFERROR(__xludf.DUMMYFUNCTION("""COMPUTED_VALUE"""),10000)</f>
        <v>10000</v>
      </c>
      <c r="J675" s="29">
        <f ca="1">IFERROR(__xludf.DUMMYFUNCTION("""COMPUTED_VALUE"""),5)</f>
        <v>5</v>
      </c>
      <c r="K675" s="29">
        <f ca="1">IFERROR(__xludf.DUMMYFUNCTION("""COMPUTED_VALUE"""),4000)</f>
        <v>4000</v>
      </c>
      <c r="L675" s="29">
        <f ca="1">IFERROR(__xludf.DUMMYFUNCTION("""COMPUTED_VALUE"""),2)</f>
        <v>2</v>
      </c>
      <c r="M675" s="29">
        <f ca="1">IFERROR(__xludf.DUMMYFUNCTION("""COMPUTED_VALUE"""),0)</f>
        <v>0</v>
      </c>
      <c r="N675" s="29">
        <f ca="1">IFERROR(__xludf.DUMMYFUNCTION("""COMPUTED_VALUE"""),0)</f>
        <v>0</v>
      </c>
    </row>
    <row r="676" spans="2:14" ht="12.5">
      <c r="B676" s="2" t="str">
        <f ca="1">IFERROR(__xludf.DUMMYFUNCTION("""COMPUTED_VALUE"""),"奈良学園登美ヶ丘高")</f>
        <v>奈良学園登美ヶ丘高</v>
      </c>
      <c r="C676" s="2" t="str">
        <f ca="1">IFERROR(__xludf.DUMMYFUNCTION("""COMPUTED_VALUE"""),"#N/A")</f>
        <v>#N/A</v>
      </c>
      <c r="D676" s="2">
        <f ca="1">IFERROR(__xludf.DUMMYFUNCTION("""COMPUTED_VALUE"""),0)</f>
        <v>0</v>
      </c>
      <c r="E676" s="29">
        <f ca="1">IFERROR(__xludf.DUMMYFUNCTION("""COMPUTED_VALUE"""),0)</f>
        <v>0</v>
      </c>
      <c r="F676" s="30">
        <f ca="1">IFERROR(__xludf.DUMMYFUNCTION("""COMPUTED_VALUE"""),0)</f>
        <v>0</v>
      </c>
      <c r="G676" s="29">
        <f ca="1">IFERROR(__xludf.DUMMYFUNCTION("""COMPUTED_VALUE"""),0)</f>
        <v>0</v>
      </c>
      <c r="H676" s="30">
        <f ca="1">IFERROR(__xludf.DUMMYFUNCTION("""COMPUTED_VALUE"""),0)</f>
        <v>0</v>
      </c>
      <c r="I676" s="29">
        <f ca="1">IFERROR(__xludf.DUMMYFUNCTION("""COMPUTED_VALUE"""),2000)</f>
        <v>2000</v>
      </c>
      <c r="J676" s="29">
        <f ca="1">IFERROR(__xludf.DUMMYFUNCTION("""COMPUTED_VALUE"""),1)</f>
        <v>1</v>
      </c>
      <c r="K676" s="29">
        <f ca="1">IFERROR(__xludf.DUMMYFUNCTION("""COMPUTED_VALUE"""),4000)</f>
        <v>4000</v>
      </c>
      <c r="L676" s="29">
        <f ca="1">IFERROR(__xludf.DUMMYFUNCTION("""COMPUTED_VALUE"""),2)</f>
        <v>2</v>
      </c>
      <c r="M676" s="29">
        <f ca="1">IFERROR(__xludf.DUMMYFUNCTION("""COMPUTED_VALUE"""),0)</f>
        <v>0</v>
      </c>
      <c r="N676" s="29">
        <f ca="1">IFERROR(__xludf.DUMMYFUNCTION("""COMPUTED_VALUE"""),0)</f>
        <v>0</v>
      </c>
    </row>
    <row r="677" spans="2:14" ht="12.5">
      <c r="B677" s="2" t="str">
        <f ca="1">IFERROR(__xludf.DUMMYFUNCTION("""COMPUTED_VALUE"""),"鳥取西高")</f>
        <v>鳥取西高</v>
      </c>
      <c r="C677" s="2" t="str">
        <f ca="1">IFERROR(__xludf.DUMMYFUNCTION("""COMPUTED_VALUE"""),"#N/A")</f>
        <v>#N/A</v>
      </c>
      <c r="D677" s="2">
        <f ca="1">IFERROR(__xludf.DUMMYFUNCTION("""COMPUTED_VALUE"""),0)</f>
        <v>0</v>
      </c>
      <c r="E677" s="29">
        <f ca="1">IFERROR(__xludf.DUMMYFUNCTION("""COMPUTED_VALUE"""),0)</f>
        <v>0</v>
      </c>
      <c r="F677" s="30">
        <f ca="1">IFERROR(__xludf.DUMMYFUNCTION("""COMPUTED_VALUE"""),0)</f>
        <v>0</v>
      </c>
      <c r="G677" s="29">
        <f ca="1">IFERROR(__xludf.DUMMYFUNCTION("""COMPUTED_VALUE"""),0)</f>
        <v>0</v>
      </c>
      <c r="H677" s="30">
        <f ca="1">IFERROR(__xludf.DUMMYFUNCTION("""COMPUTED_VALUE"""),0)</f>
        <v>0</v>
      </c>
      <c r="I677" s="29">
        <f ca="1">IFERROR(__xludf.DUMMYFUNCTION("""COMPUTED_VALUE"""),4000)</f>
        <v>4000</v>
      </c>
      <c r="J677" s="29">
        <f ca="1">IFERROR(__xludf.DUMMYFUNCTION("""COMPUTED_VALUE"""),2)</f>
        <v>2</v>
      </c>
      <c r="K677" s="29">
        <f ca="1">IFERROR(__xludf.DUMMYFUNCTION("""COMPUTED_VALUE"""),12000)</f>
        <v>12000</v>
      </c>
      <c r="L677" s="29">
        <f ca="1">IFERROR(__xludf.DUMMYFUNCTION("""COMPUTED_VALUE"""),6)</f>
        <v>6</v>
      </c>
      <c r="M677" s="29">
        <f ca="1">IFERROR(__xludf.DUMMYFUNCTION("""COMPUTED_VALUE"""),0)</f>
        <v>0</v>
      </c>
      <c r="N677" s="29">
        <f ca="1">IFERROR(__xludf.DUMMYFUNCTION("""COMPUTED_VALUE"""),0)</f>
        <v>0</v>
      </c>
    </row>
    <row r="678" spans="2:14" ht="12.5">
      <c r="B678" s="2" t="str">
        <f ca="1">IFERROR(__xludf.DUMMYFUNCTION("""COMPUTED_VALUE"""),"東桜学館高")</f>
        <v>東桜学館高</v>
      </c>
      <c r="C678" s="2" t="str">
        <f ca="1">IFERROR(__xludf.DUMMYFUNCTION("""COMPUTED_VALUE"""),"#N/A")</f>
        <v>#N/A</v>
      </c>
      <c r="D678" s="2">
        <f ca="1">IFERROR(__xludf.DUMMYFUNCTION("""COMPUTED_VALUE"""),0)</f>
        <v>0</v>
      </c>
      <c r="E678" s="29">
        <f ca="1">IFERROR(__xludf.DUMMYFUNCTION("""COMPUTED_VALUE"""),0)</f>
        <v>0</v>
      </c>
      <c r="F678" s="30">
        <f ca="1">IFERROR(__xludf.DUMMYFUNCTION("""COMPUTED_VALUE"""),0)</f>
        <v>0</v>
      </c>
      <c r="G678" s="29">
        <f ca="1">IFERROR(__xludf.DUMMYFUNCTION("""COMPUTED_VALUE"""),0)</f>
        <v>0</v>
      </c>
      <c r="H678" s="30">
        <f ca="1">IFERROR(__xludf.DUMMYFUNCTION("""COMPUTED_VALUE"""),0)</f>
        <v>0</v>
      </c>
      <c r="I678" s="29">
        <f ca="1">IFERROR(__xludf.DUMMYFUNCTION("""COMPUTED_VALUE"""),6000)</f>
        <v>6000</v>
      </c>
      <c r="J678" s="29">
        <f ca="1">IFERROR(__xludf.DUMMYFUNCTION("""COMPUTED_VALUE"""),3)</f>
        <v>3</v>
      </c>
      <c r="K678" s="29">
        <f ca="1">IFERROR(__xludf.DUMMYFUNCTION("""COMPUTED_VALUE"""),6000)</f>
        <v>6000</v>
      </c>
      <c r="L678" s="29">
        <f ca="1">IFERROR(__xludf.DUMMYFUNCTION("""COMPUTED_VALUE"""),3)</f>
        <v>3</v>
      </c>
      <c r="M678" s="29">
        <f ca="1">IFERROR(__xludf.DUMMYFUNCTION("""COMPUTED_VALUE"""),0)</f>
        <v>0</v>
      </c>
      <c r="N678" s="29">
        <f ca="1">IFERROR(__xludf.DUMMYFUNCTION("""COMPUTED_VALUE"""),0)</f>
        <v>0</v>
      </c>
    </row>
    <row r="679" spans="2:14" ht="12.5">
      <c r="B679" s="2" t="str">
        <f ca="1">IFERROR(__xludf.DUMMYFUNCTION("""COMPUTED_VALUE"""),"一ツ葉高")</f>
        <v>一ツ葉高</v>
      </c>
      <c r="C679" s="2" t="str">
        <f ca="1">IFERROR(__xludf.DUMMYFUNCTION("""COMPUTED_VALUE"""),"#N/A")</f>
        <v>#N/A</v>
      </c>
      <c r="D679" s="2">
        <f ca="1">IFERROR(__xludf.DUMMYFUNCTION("""COMPUTED_VALUE"""),0)</f>
        <v>0</v>
      </c>
      <c r="E679" s="29">
        <f ca="1">IFERROR(__xludf.DUMMYFUNCTION("""COMPUTED_VALUE"""),0)</f>
        <v>0</v>
      </c>
      <c r="F679" s="30">
        <f ca="1">IFERROR(__xludf.DUMMYFUNCTION("""COMPUTED_VALUE"""),0)</f>
        <v>0</v>
      </c>
      <c r="G679" s="29">
        <f ca="1">IFERROR(__xludf.DUMMYFUNCTION("""COMPUTED_VALUE"""),0)</f>
        <v>0</v>
      </c>
      <c r="H679" s="30">
        <f ca="1">IFERROR(__xludf.DUMMYFUNCTION("""COMPUTED_VALUE"""),0)</f>
        <v>0</v>
      </c>
      <c r="I679" s="29">
        <f ca="1">IFERROR(__xludf.DUMMYFUNCTION("""COMPUTED_VALUE"""),2000)</f>
        <v>2000</v>
      </c>
      <c r="J679" s="29">
        <f ca="1">IFERROR(__xludf.DUMMYFUNCTION("""COMPUTED_VALUE"""),1)</f>
        <v>1</v>
      </c>
      <c r="K679" s="29">
        <f ca="1">IFERROR(__xludf.DUMMYFUNCTION("""COMPUTED_VALUE"""),0)</f>
        <v>0</v>
      </c>
      <c r="L679" s="29">
        <f ca="1">IFERROR(__xludf.DUMMYFUNCTION("""COMPUTED_VALUE"""),0)</f>
        <v>0</v>
      </c>
      <c r="M679" s="29">
        <f ca="1">IFERROR(__xludf.DUMMYFUNCTION("""COMPUTED_VALUE"""),0)</f>
        <v>0</v>
      </c>
      <c r="N679" s="29">
        <f ca="1">IFERROR(__xludf.DUMMYFUNCTION("""COMPUTED_VALUE"""),0)</f>
        <v>0</v>
      </c>
    </row>
    <row r="680" spans="2:14" ht="12.5">
      <c r="B680" s="2" t="str">
        <f ca="1">IFERROR(__xludf.DUMMYFUNCTION("""COMPUTED_VALUE"""),"柏陽高")</f>
        <v>柏陽高</v>
      </c>
      <c r="C680" s="2" t="str">
        <f ca="1">IFERROR(__xludf.DUMMYFUNCTION("""COMPUTED_VALUE"""),"#N/A")</f>
        <v>#N/A</v>
      </c>
      <c r="D680" s="2">
        <f ca="1">IFERROR(__xludf.DUMMYFUNCTION("""COMPUTED_VALUE"""),0)</f>
        <v>0</v>
      </c>
      <c r="E680" s="29">
        <f ca="1">IFERROR(__xludf.DUMMYFUNCTION("""COMPUTED_VALUE"""),0)</f>
        <v>0</v>
      </c>
      <c r="F680" s="30">
        <f ca="1">IFERROR(__xludf.DUMMYFUNCTION("""COMPUTED_VALUE"""),0)</f>
        <v>0</v>
      </c>
      <c r="G680" s="29">
        <f ca="1">IFERROR(__xludf.DUMMYFUNCTION("""COMPUTED_VALUE"""),0)</f>
        <v>0</v>
      </c>
      <c r="H680" s="30">
        <f ca="1">IFERROR(__xludf.DUMMYFUNCTION("""COMPUTED_VALUE"""),0)</f>
        <v>0</v>
      </c>
      <c r="I680" s="29">
        <f ca="1">IFERROR(__xludf.DUMMYFUNCTION("""COMPUTED_VALUE"""),2000)</f>
        <v>2000</v>
      </c>
      <c r="J680" s="29">
        <f ca="1">IFERROR(__xludf.DUMMYFUNCTION("""COMPUTED_VALUE"""),1)</f>
        <v>1</v>
      </c>
      <c r="K680" s="29">
        <f ca="1">IFERROR(__xludf.DUMMYFUNCTION("""COMPUTED_VALUE"""),0)</f>
        <v>0</v>
      </c>
      <c r="L680" s="29">
        <f ca="1">IFERROR(__xludf.DUMMYFUNCTION("""COMPUTED_VALUE"""),0)</f>
        <v>0</v>
      </c>
      <c r="M680" s="29">
        <f ca="1">IFERROR(__xludf.DUMMYFUNCTION("""COMPUTED_VALUE"""),0)</f>
        <v>0</v>
      </c>
      <c r="N680" s="29">
        <f ca="1">IFERROR(__xludf.DUMMYFUNCTION("""COMPUTED_VALUE"""),0)</f>
        <v>0</v>
      </c>
    </row>
    <row r="681" spans="2:14" ht="12.5">
      <c r="B681" s="2" t="str">
        <f ca="1">IFERROR(__xludf.DUMMYFUNCTION("""COMPUTED_VALUE"""),"坂出高")</f>
        <v>坂出高</v>
      </c>
      <c r="C681" s="2" t="str">
        <f ca="1">IFERROR(__xludf.DUMMYFUNCTION("""COMPUTED_VALUE"""),"#N/A")</f>
        <v>#N/A</v>
      </c>
      <c r="D681" s="2">
        <f ca="1">IFERROR(__xludf.DUMMYFUNCTION("""COMPUTED_VALUE"""),0)</f>
        <v>0</v>
      </c>
      <c r="E681" s="29">
        <f ca="1">IFERROR(__xludf.DUMMYFUNCTION("""COMPUTED_VALUE"""),0)</f>
        <v>0</v>
      </c>
      <c r="F681" s="30">
        <f ca="1">IFERROR(__xludf.DUMMYFUNCTION("""COMPUTED_VALUE"""),0)</f>
        <v>0</v>
      </c>
      <c r="G681" s="29">
        <f ca="1">IFERROR(__xludf.DUMMYFUNCTION("""COMPUTED_VALUE"""),0)</f>
        <v>0</v>
      </c>
      <c r="H681" s="30">
        <f ca="1">IFERROR(__xludf.DUMMYFUNCTION("""COMPUTED_VALUE"""),0)</f>
        <v>0</v>
      </c>
      <c r="I681" s="29">
        <f ca="1">IFERROR(__xludf.DUMMYFUNCTION("""COMPUTED_VALUE"""),2000)</f>
        <v>2000</v>
      </c>
      <c r="J681" s="29">
        <f ca="1">IFERROR(__xludf.DUMMYFUNCTION("""COMPUTED_VALUE"""),1)</f>
        <v>1</v>
      </c>
      <c r="K681" s="29">
        <f ca="1">IFERROR(__xludf.DUMMYFUNCTION("""COMPUTED_VALUE"""),0)</f>
        <v>0</v>
      </c>
      <c r="L681" s="29">
        <f ca="1">IFERROR(__xludf.DUMMYFUNCTION("""COMPUTED_VALUE"""),0)</f>
        <v>0</v>
      </c>
      <c r="M681" s="29">
        <f ca="1">IFERROR(__xludf.DUMMYFUNCTION("""COMPUTED_VALUE"""),0)</f>
        <v>0</v>
      </c>
      <c r="N681" s="29">
        <f ca="1">IFERROR(__xludf.DUMMYFUNCTION("""COMPUTED_VALUE"""),0)</f>
        <v>0</v>
      </c>
    </row>
    <row r="682" spans="2:14" ht="12.5">
      <c r="B682" s="2" t="str">
        <f ca="1">IFERROR(__xludf.DUMMYFUNCTION("""COMPUTED_VALUE"""),"福岡大附大濠高")</f>
        <v>福岡大附大濠高</v>
      </c>
      <c r="C682" s="2" t="str">
        <f ca="1">IFERROR(__xludf.DUMMYFUNCTION("""COMPUTED_VALUE"""),"#N/A")</f>
        <v>#N/A</v>
      </c>
      <c r="D682" s="2">
        <f ca="1">IFERROR(__xludf.DUMMYFUNCTION("""COMPUTED_VALUE"""),0)</f>
        <v>0</v>
      </c>
      <c r="E682" s="29">
        <f ca="1">IFERROR(__xludf.DUMMYFUNCTION("""COMPUTED_VALUE"""),0)</f>
        <v>0</v>
      </c>
      <c r="F682" s="30">
        <f ca="1">IFERROR(__xludf.DUMMYFUNCTION("""COMPUTED_VALUE"""),0)</f>
        <v>0</v>
      </c>
      <c r="G682" s="29">
        <f ca="1">IFERROR(__xludf.DUMMYFUNCTION("""COMPUTED_VALUE"""),0)</f>
        <v>0</v>
      </c>
      <c r="H682" s="30">
        <f ca="1">IFERROR(__xludf.DUMMYFUNCTION("""COMPUTED_VALUE"""),0)</f>
        <v>0</v>
      </c>
      <c r="I682" s="29">
        <f ca="1">IFERROR(__xludf.DUMMYFUNCTION("""COMPUTED_VALUE"""),4000)</f>
        <v>4000</v>
      </c>
      <c r="J682" s="29">
        <f ca="1">IFERROR(__xludf.DUMMYFUNCTION("""COMPUTED_VALUE"""),2)</f>
        <v>2</v>
      </c>
      <c r="K682" s="29">
        <f ca="1">IFERROR(__xludf.DUMMYFUNCTION("""COMPUTED_VALUE"""),6000)</f>
        <v>6000</v>
      </c>
      <c r="L682" s="29">
        <f ca="1">IFERROR(__xludf.DUMMYFUNCTION("""COMPUTED_VALUE"""),3)</f>
        <v>3</v>
      </c>
      <c r="M682" s="29">
        <f ca="1">IFERROR(__xludf.DUMMYFUNCTION("""COMPUTED_VALUE"""),0)</f>
        <v>0</v>
      </c>
      <c r="N682" s="29">
        <f ca="1">IFERROR(__xludf.DUMMYFUNCTION("""COMPUTED_VALUE"""),0)</f>
        <v>0</v>
      </c>
    </row>
    <row r="683" spans="2:14" ht="12.5">
      <c r="B683" s="2" t="str">
        <f ca="1">IFERROR(__xludf.DUMMYFUNCTION("""COMPUTED_VALUE"""),"穎明館高")</f>
        <v>穎明館高</v>
      </c>
      <c r="C683" s="2" t="str">
        <f ca="1">IFERROR(__xludf.DUMMYFUNCTION("""COMPUTED_VALUE"""),"#N/A")</f>
        <v>#N/A</v>
      </c>
      <c r="D683" s="2">
        <f ca="1">IFERROR(__xludf.DUMMYFUNCTION("""COMPUTED_VALUE"""),0)</f>
        <v>0</v>
      </c>
      <c r="E683" s="29">
        <f ca="1">IFERROR(__xludf.DUMMYFUNCTION("""COMPUTED_VALUE"""),0)</f>
        <v>0</v>
      </c>
      <c r="F683" s="30">
        <f ca="1">IFERROR(__xludf.DUMMYFUNCTION("""COMPUTED_VALUE"""),0)</f>
        <v>0</v>
      </c>
      <c r="G683" s="29">
        <f ca="1">IFERROR(__xludf.DUMMYFUNCTION("""COMPUTED_VALUE"""),0)</f>
        <v>0</v>
      </c>
      <c r="H683" s="30">
        <f ca="1">IFERROR(__xludf.DUMMYFUNCTION("""COMPUTED_VALUE"""),0)</f>
        <v>0</v>
      </c>
      <c r="I683" s="29">
        <f ca="1">IFERROR(__xludf.DUMMYFUNCTION("""COMPUTED_VALUE"""),6000)</f>
        <v>6000</v>
      </c>
      <c r="J683" s="29">
        <f ca="1">IFERROR(__xludf.DUMMYFUNCTION("""COMPUTED_VALUE"""),3)</f>
        <v>3</v>
      </c>
      <c r="K683" s="29">
        <f ca="1">IFERROR(__xludf.DUMMYFUNCTION("""COMPUTED_VALUE"""),6000)</f>
        <v>6000</v>
      </c>
      <c r="L683" s="29">
        <f ca="1">IFERROR(__xludf.DUMMYFUNCTION("""COMPUTED_VALUE"""),3)</f>
        <v>3</v>
      </c>
      <c r="M683" s="29">
        <f ca="1">IFERROR(__xludf.DUMMYFUNCTION("""COMPUTED_VALUE"""),0)</f>
        <v>0</v>
      </c>
      <c r="N683" s="29">
        <f ca="1">IFERROR(__xludf.DUMMYFUNCTION("""COMPUTED_VALUE"""),0)</f>
        <v>0</v>
      </c>
    </row>
    <row r="684" spans="2:14" ht="12.5">
      <c r="B684" s="2" t="str">
        <f ca="1">IFERROR(__xludf.DUMMYFUNCTION("""COMPUTED_VALUE"""),"聖セシリア女子高")</f>
        <v>聖セシリア女子高</v>
      </c>
      <c r="C684" s="2" t="str">
        <f ca="1">IFERROR(__xludf.DUMMYFUNCTION("""COMPUTED_VALUE"""),"#N/A")</f>
        <v>#N/A</v>
      </c>
      <c r="D684" s="2">
        <f ca="1">IFERROR(__xludf.DUMMYFUNCTION("""COMPUTED_VALUE"""),0)</f>
        <v>0</v>
      </c>
      <c r="E684" s="29">
        <f ca="1">IFERROR(__xludf.DUMMYFUNCTION("""COMPUTED_VALUE"""),0)</f>
        <v>0</v>
      </c>
      <c r="F684" s="30">
        <f ca="1">IFERROR(__xludf.DUMMYFUNCTION("""COMPUTED_VALUE"""),0)</f>
        <v>0</v>
      </c>
      <c r="G684" s="29">
        <f ca="1">IFERROR(__xludf.DUMMYFUNCTION("""COMPUTED_VALUE"""),0)</f>
        <v>0</v>
      </c>
      <c r="H684" s="30">
        <f ca="1">IFERROR(__xludf.DUMMYFUNCTION("""COMPUTED_VALUE"""),0)</f>
        <v>0</v>
      </c>
      <c r="I684" s="29">
        <f ca="1">IFERROR(__xludf.DUMMYFUNCTION("""COMPUTED_VALUE"""),2000)</f>
        <v>2000</v>
      </c>
      <c r="J684" s="29">
        <f ca="1">IFERROR(__xludf.DUMMYFUNCTION("""COMPUTED_VALUE"""),1)</f>
        <v>1</v>
      </c>
      <c r="K684" s="29">
        <f ca="1">IFERROR(__xludf.DUMMYFUNCTION("""COMPUTED_VALUE"""),0)</f>
        <v>0</v>
      </c>
      <c r="L684" s="29">
        <f ca="1">IFERROR(__xludf.DUMMYFUNCTION("""COMPUTED_VALUE"""),0)</f>
        <v>0</v>
      </c>
      <c r="M684" s="29">
        <f ca="1">IFERROR(__xludf.DUMMYFUNCTION("""COMPUTED_VALUE"""),0)</f>
        <v>0</v>
      </c>
      <c r="N684" s="29">
        <f ca="1">IFERROR(__xludf.DUMMYFUNCTION("""COMPUTED_VALUE"""),0)</f>
        <v>0</v>
      </c>
    </row>
    <row r="685" spans="2:14" ht="12.5">
      <c r="B685" s="2" t="str">
        <f ca="1">IFERROR(__xludf.DUMMYFUNCTION("""COMPUTED_VALUE"""),"基町高")</f>
        <v>基町高</v>
      </c>
      <c r="C685" s="2" t="str">
        <f ca="1">IFERROR(__xludf.DUMMYFUNCTION("""COMPUTED_VALUE"""),"#N/A")</f>
        <v>#N/A</v>
      </c>
      <c r="D685" s="2">
        <f ca="1">IFERROR(__xludf.DUMMYFUNCTION("""COMPUTED_VALUE"""),0)</f>
        <v>0</v>
      </c>
      <c r="E685" s="29">
        <f ca="1">IFERROR(__xludf.DUMMYFUNCTION("""COMPUTED_VALUE"""),0)</f>
        <v>0</v>
      </c>
      <c r="F685" s="30">
        <f ca="1">IFERROR(__xludf.DUMMYFUNCTION("""COMPUTED_VALUE"""),0)</f>
        <v>0</v>
      </c>
      <c r="G685" s="29">
        <f ca="1">IFERROR(__xludf.DUMMYFUNCTION("""COMPUTED_VALUE"""),0)</f>
        <v>0</v>
      </c>
      <c r="H685" s="30">
        <f ca="1">IFERROR(__xludf.DUMMYFUNCTION("""COMPUTED_VALUE"""),0)</f>
        <v>0</v>
      </c>
      <c r="I685" s="29">
        <f ca="1">IFERROR(__xludf.DUMMYFUNCTION("""COMPUTED_VALUE"""),4000)</f>
        <v>4000</v>
      </c>
      <c r="J685" s="29">
        <f ca="1">IFERROR(__xludf.DUMMYFUNCTION("""COMPUTED_VALUE"""),2)</f>
        <v>2</v>
      </c>
      <c r="K685" s="29">
        <f ca="1">IFERROR(__xludf.DUMMYFUNCTION("""COMPUTED_VALUE"""),8000)</f>
        <v>8000</v>
      </c>
      <c r="L685" s="29">
        <f ca="1">IFERROR(__xludf.DUMMYFUNCTION("""COMPUTED_VALUE"""),4)</f>
        <v>4</v>
      </c>
      <c r="M685" s="29">
        <f ca="1">IFERROR(__xludf.DUMMYFUNCTION("""COMPUTED_VALUE"""),0)</f>
        <v>0</v>
      </c>
      <c r="N685" s="29">
        <f ca="1">IFERROR(__xludf.DUMMYFUNCTION("""COMPUTED_VALUE"""),0)</f>
        <v>0</v>
      </c>
    </row>
    <row r="686" spans="2:14" ht="12.5">
      <c r="B686" s="2" t="str">
        <f ca="1">IFERROR(__xludf.DUMMYFUNCTION("""COMPUTED_VALUE"""),"日本女子大附高")</f>
        <v>日本女子大附高</v>
      </c>
      <c r="C686" s="2" t="str">
        <f ca="1">IFERROR(__xludf.DUMMYFUNCTION("""COMPUTED_VALUE"""),"#N/A")</f>
        <v>#N/A</v>
      </c>
      <c r="D686" s="2">
        <f ca="1">IFERROR(__xludf.DUMMYFUNCTION("""COMPUTED_VALUE"""),0)</f>
        <v>0</v>
      </c>
      <c r="E686" s="29">
        <f ca="1">IFERROR(__xludf.DUMMYFUNCTION("""COMPUTED_VALUE"""),0)</f>
        <v>0</v>
      </c>
      <c r="F686" s="30">
        <f ca="1">IFERROR(__xludf.DUMMYFUNCTION("""COMPUTED_VALUE"""),0)</f>
        <v>0</v>
      </c>
      <c r="G686" s="29">
        <f ca="1">IFERROR(__xludf.DUMMYFUNCTION("""COMPUTED_VALUE"""),0)</f>
        <v>0</v>
      </c>
      <c r="H686" s="30">
        <f ca="1">IFERROR(__xludf.DUMMYFUNCTION("""COMPUTED_VALUE"""),0)</f>
        <v>0</v>
      </c>
      <c r="I686" s="29">
        <f ca="1">IFERROR(__xludf.DUMMYFUNCTION("""COMPUTED_VALUE"""),6000)</f>
        <v>6000</v>
      </c>
      <c r="J686" s="29">
        <f ca="1">IFERROR(__xludf.DUMMYFUNCTION("""COMPUTED_VALUE"""),3)</f>
        <v>3</v>
      </c>
      <c r="K686" s="29">
        <f ca="1">IFERROR(__xludf.DUMMYFUNCTION("""COMPUTED_VALUE"""),6000)</f>
        <v>6000</v>
      </c>
      <c r="L686" s="29">
        <f ca="1">IFERROR(__xludf.DUMMYFUNCTION("""COMPUTED_VALUE"""),3)</f>
        <v>3</v>
      </c>
      <c r="M686" s="29">
        <f ca="1">IFERROR(__xludf.DUMMYFUNCTION("""COMPUTED_VALUE"""),0)</f>
        <v>0</v>
      </c>
      <c r="N686" s="29">
        <f ca="1">IFERROR(__xludf.DUMMYFUNCTION("""COMPUTED_VALUE"""),0)</f>
        <v>0</v>
      </c>
    </row>
    <row r="687" spans="2:14" ht="12.5">
      <c r="B687" s="2" t="str">
        <f ca="1">IFERROR(__xludf.DUMMYFUNCTION("""COMPUTED_VALUE"""),"金沢西高")</f>
        <v>金沢西高</v>
      </c>
      <c r="C687" s="2" t="str">
        <f ca="1">IFERROR(__xludf.DUMMYFUNCTION("""COMPUTED_VALUE"""),"#N/A")</f>
        <v>#N/A</v>
      </c>
      <c r="D687" s="2">
        <f ca="1">IFERROR(__xludf.DUMMYFUNCTION("""COMPUTED_VALUE"""),0)</f>
        <v>0</v>
      </c>
      <c r="E687" s="29">
        <f ca="1">IFERROR(__xludf.DUMMYFUNCTION("""COMPUTED_VALUE"""),0)</f>
        <v>0</v>
      </c>
      <c r="F687" s="30">
        <f ca="1">IFERROR(__xludf.DUMMYFUNCTION("""COMPUTED_VALUE"""),0)</f>
        <v>0</v>
      </c>
      <c r="G687" s="29">
        <f ca="1">IFERROR(__xludf.DUMMYFUNCTION("""COMPUTED_VALUE"""),0)</f>
        <v>0</v>
      </c>
      <c r="H687" s="30">
        <f ca="1">IFERROR(__xludf.DUMMYFUNCTION("""COMPUTED_VALUE"""),0)</f>
        <v>0</v>
      </c>
      <c r="I687" s="29">
        <f ca="1">IFERROR(__xludf.DUMMYFUNCTION("""COMPUTED_VALUE"""),2000)</f>
        <v>2000</v>
      </c>
      <c r="J687" s="29">
        <f ca="1">IFERROR(__xludf.DUMMYFUNCTION("""COMPUTED_VALUE"""),1)</f>
        <v>1</v>
      </c>
      <c r="K687" s="29">
        <f ca="1">IFERROR(__xludf.DUMMYFUNCTION("""COMPUTED_VALUE"""),2000)</f>
        <v>2000</v>
      </c>
      <c r="L687" s="29">
        <f ca="1">IFERROR(__xludf.DUMMYFUNCTION("""COMPUTED_VALUE"""),1)</f>
        <v>1</v>
      </c>
      <c r="M687" s="29">
        <f ca="1">IFERROR(__xludf.DUMMYFUNCTION("""COMPUTED_VALUE"""),0)</f>
        <v>0</v>
      </c>
      <c r="N687" s="29">
        <f ca="1">IFERROR(__xludf.DUMMYFUNCTION("""COMPUTED_VALUE"""),0)</f>
        <v>0</v>
      </c>
    </row>
    <row r="688" spans="2:14" ht="12.5">
      <c r="B688" s="2" t="str">
        <f ca="1">IFERROR(__xludf.DUMMYFUNCTION("""COMPUTED_VALUE"""),"長良高")</f>
        <v>長良高</v>
      </c>
      <c r="C688" s="2" t="str">
        <f ca="1">IFERROR(__xludf.DUMMYFUNCTION("""COMPUTED_VALUE"""),"#N/A")</f>
        <v>#N/A</v>
      </c>
      <c r="D688" s="2">
        <f ca="1">IFERROR(__xludf.DUMMYFUNCTION("""COMPUTED_VALUE"""),0)</f>
        <v>0</v>
      </c>
      <c r="E688" s="29">
        <f ca="1">IFERROR(__xludf.DUMMYFUNCTION("""COMPUTED_VALUE"""),0)</f>
        <v>0</v>
      </c>
      <c r="F688" s="30">
        <f ca="1">IFERROR(__xludf.DUMMYFUNCTION("""COMPUTED_VALUE"""),0)</f>
        <v>0</v>
      </c>
      <c r="G688" s="29">
        <f ca="1">IFERROR(__xludf.DUMMYFUNCTION("""COMPUTED_VALUE"""),0)</f>
        <v>0</v>
      </c>
      <c r="H688" s="30">
        <f ca="1">IFERROR(__xludf.DUMMYFUNCTION("""COMPUTED_VALUE"""),0)</f>
        <v>0</v>
      </c>
      <c r="I688" s="29">
        <f ca="1">IFERROR(__xludf.DUMMYFUNCTION("""COMPUTED_VALUE"""),8000)</f>
        <v>8000</v>
      </c>
      <c r="J688" s="29">
        <f ca="1">IFERROR(__xludf.DUMMYFUNCTION("""COMPUTED_VALUE"""),4)</f>
        <v>4</v>
      </c>
      <c r="K688" s="29">
        <f ca="1">IFERROR(__xludf.DUMMYFUNCTION("""COMPUTED_VALUE"""),6000)</f>
        <v>6000</v>
      </c>
      <c r="L688" s="29">
        <f ca="1">IFERROR(__xludf.DUMMYFUNCTION("""COMPUTED_VALUE"""),3)</f>
        <v>3</v>
      </c>
      <c r="M688" s="29">
        <f ca="1">IFERROR(__xludf.DUMMYFUNCTION("""COMPUTED_VALUE"""),0)</f>
        <v>0</v>
      </c>
      <c r="N688" s="29">
        <f ca="1">IFERROR(__xludf.DUMMYFUNCTION("""COMPUTED_VALUE"""),0)</f>
        <v>0</v>
      </c>
    </row>
    <row r="689" spans="2:14" ht="12.5">
      <c r="B689" s="2" t="str">
        <f ca="1">IFERROR(__xludf.DUMMYFUNCTION("""COMPUTED_VALUE"""),"光塩女子学院")</f>
        <v>光塩女子学院</v>
      </c>
      <c r="C689" s="2" t="str">
        <f ca="1">IFERROR(__xludf.DUMMYFUNCTION("""COMPUTED_VALUE"""),"#N/A")</f>
        <v>#N/A</v>
      </c>
      <c r="D689" s="2">
        <f ca="1">IFERROR(__xludf.DUMMYFUNCTION("""COMPUTED_VALUE"""),0)</f>
        <v>0</v>
      </c>
      <c r="E689" s="29">
        <f ca="1">IFERROR(__xludf.DUMMYFUNCTION("""COMPUTED_VALUE"""),0)</f>
        <v>0</v>
      </c>
      <c r="F689" s="30">
        <f ca="1">IFERROR(__xludf.DUMMYFUNCTION("""COMPUTED_VALUE"""),0)</f>
        <v>0</v>
      </c>
      <c r="G689" s="29">
        <f ca="1">IFERROR(__xludf.DUMMYFUNCTION("""COMPUTED_VALUE"""),0)</f>
        <v>0</v>
      </c>
      <c r="H689" s="30">
        <f ca="1">IFERROR(__xludf.DUMMYFUNCTION("""COMPUTED_VALUE"""),0)</f>
        <v>0</v>
      </c>
      <c r="I689" s="29">
        <f ca="1">IFERROR(__xludf.DUMMYFUNCTION("""COMPUTED_VALUE"""),2000)</f>
        <v>2000</v>
      </c>
      <c r="J689" s="29">
        <f ca="1">IFERROR(__xludf.DUMMYFUNCTION("""COMPUTED_VALUE"""),1)</f>
        <v>1</v>
      </c>
      <c r="K689" s="29">
        <f ca="1">IFERROR(__xludf.DUMMYFUNCTION("""COMPUTED_VALUE"""),0)</f>
        <v>0</v>
      </c>
      <c r="L689" s="29">
        <f ca="1">IFERROR(__xludf.DUMMYFUNCTION("""COMPUTED_VALUE"""),0)</f>
        <v>0</v>
      </c>
      <c r="M689" s="29">
        <f ca="1">IFERROR(__xludf.DUMMYFUNCTION("""COMPUTED_VALUE"""),0)</f>
        <v>0</v>
      </c>
      <c r="N689" s="29">
        <f ca="1">IFERROR(__xludf.DUMMYFUNCTION("""COMPUTED_VALUE"""),0)</f>
        <v>0</v>
      </c>
    </row>
    <row r="690" spans="2:14" ht="12.5">
      <c r="B690" s="2" t="str">
        <f ca="1">IFERROR(__xludf.DUMMYFUNCTION("""COMPUTED_VALUE"""),"桐光学園高")</f>
        <v>桐光学園高</v>
      </c>
      <c r="C690" s="2" t="str">
        <f ca="1">IFERROR(__xludf.DUMMYFUNCTION("""COMPUTED_VALUE"""),"#N/A")</f>
        <v>#N/A</v>
      </c>
      <c r="D690" s="2">
        <f ca="1">IFERROR(__xludf.DUMMYFUNCTION("""COMPUTED_VALUE"""),0)</f>
        <v>0</v>
      </c>
      <c r="E690" s="29">
        <f ca="1">IFERROR(__xludf.DUMMYFUNCTION("""COMPUTED_VALUE"""),0)</f>
        <v>0</v>
      </c>
      <c r="F690" s="30">
        <f ca="1">IFERROR(__xludf.DUMMYFUNCTION("""COMPUTED_VALUE"""),0)</f>
        <v>0</v>
      </c>
      <c r="G690" s="29">
        <f ca="1">IFERROR(__xludf.DUMMYFUNCTION("""COMPUTED_VALUE"""),0)</f>
        <v>0</v>
      </c>
      <c r="H690" s="30">
        <f ca="1">IFERROR(__xludf.DUMMYFUNCTION("""COMPUTED_VALUE"""),0)</f>
        <v>0</v>
      </c>
      <c r="I690" s="29">
        <f ca="1">IFERROR(__xludf.DUMMYFUNCTION("""COMPUTED_VALUE"""),4000)</f>
        <v>4000</v>
      </c>
      <c r="J690" s="29">
        <f ca="1">IFERROR(__xludf.DUMMYFUNCTION("""COMPUTED_VALUE"""),2)</f>
        <v>2</v>
      </c>
      <c r="K690" s="29">
        <f ca="1">IFERROR(__xludf.DUMMYFUNCTION("""COMPUTED_VALUE"""),2000)</f>
        <v>2000</v>
      </c>
      <c r="L690" s="29">
        <f ca="1">IFERROR(__xludf.DUMMYFUNCTION("""COMPUTED_VALUE"""),1)</f>
        <v>1</v>
      </c>
      <c r="M690" s="29">
        <f ca="1">IFERROR(__xludf.DUMMYFUNCTION("""COMPUTED_VALUE"""),0)</f>
        <v>0</v>
      </c>
      <c r="N690" s="29">
        <f ca="1">IFERROR(__xludf.DUMMYFUNCTION("""COMPUTED_VALUE"""),0)</f>
        <v>0</v>
      </c>
    </row>
    <row r="691" spans="2:14" ht="12.5">
      <c r="B691" s="2" t="str">
        <f ca="1">IFERROR(__xludf.DUMMYFUNCTION("""COMPUTED_VALUE"""),"時習館高")</f>
        <v>時習館高</v>
      </c>
      <c r="C691" s="2" t="str">
        <f ca="1">IFERROR(__xludf.DUMMYFUNCTION("""COMPUTED_VALUE"""),"#N/A")</f>
        <v>#N/A</v>
      </c>
      <c r="D691" s="2">
        <f ca="1">IFERROR(__xludf.DUMMYFUNCTION("""COMPUTED_VALUE"""),0)</f>
        <v>0</v>
      </c>
      <c r="E691" s="29">
        <f ca="1">IFERROR(__xludf.DUMMYFUNCTION("""COMPUTED_VALUE"""),0)</f>
        <v>0</v>
      </c>
      <c r="F691" s="30">
        <f ca="1">IFERROR(__xludf.DUMMYFUNCTION("""COMPUTED_VALUE"""),0)</f>
        <v>0</v>
      </c>
      <c r="G691" s="29">
        <f ca="1">IFERROR(__xludf.DUMMYFUNCTION("""COMPUTED_VALUE"""),0)</f>
        <v>0</v>
      </c>
      <c r="H691" s="30">
        <f ca="1">IFERROR(__xludf.DUMMYFUNCTION("""COMPUTED_VALUE"""),0)</f>
        <v>0</v>
      </c>
      <c r="I691" s="29">
        <f ca="1">IFERROR(__xludf.DUMMYFUNCTION("""COMPUTED_VALUE"""),2000)</f>
        <v>2000</v>
      </c>
      <c r="J691" s="29">
        <f ca="1">IFERROR(__xludf.DUMMYFUNCTION("""COMPUTED_VALUE"""),1)</f>
        <v>1</v>
      </c>
      <c r="K691" s="29">
        <f ca="1">IFERROR(__xludf.DUMMYFUNCTION("""COMPUTED_VALUE"""),0)</f>
        <v>0</v>
      </c>
      <c r="L691" s="29">
        <f ca="1">IFERROR(__xludf.DUMMYFUNCTION("""COMPUTED_VALUE"""),0)</f>
        <v>0</v>
      </c>
      <c r="M691" s="29">
        <f ca="1">IFERROR(__xludf.DUMMYFUNCTION("""COMPUTED_VALUE"""),0)</f>
        <v>0</v>
      </c>
      <c r="N691" s="29">
        <f ca="1">IFERROR(__xludf.DUMMYFUNCTION("""COMPUTED_VALUE"""),0)</f>
        <v>0</v>
      </c>
    </row>
    <row r="692" spans="2:14" ht="12.5">
      <c r="B692" s="2" t="str">
        <f ca="1">IFERROR(__xludf.DUMMYFUNCTION("""COMPUTED_VALUE"""),"立命館高")</f>
        <v>立命館高</v>
      </c>
      <c r="C692" s="2" t="str">
        <f ca="1">IFERROR(__xludf.DUMMYFUNCTION("""COMPUTED_VALUE"""),"#N/A")</f>
        <v>#N/A</v>
      </c>
      <c r="D692" s="2">
        <f ca="1">IFERROR(__xludf.DUMMYFUNCTION("""COMPUTED_VALUE"""),0)</f>
        <v>0</v>
      </c>
      <c r="E692" s="29">
        <f ca="1">IFERROR(__xludf.DUMMYFUNCTION("""COMPUTED_VALUE"""),0)</f>
        <v>0</v>
      </c>
      <c r="F692" s="30">
        <f ca="1">IFERROR(__xludf.DUMMYFUNCTION("""COMPUTED_VALUE"""),0)</f>
        <v>0</v>
      </c>
      <c r="G692" s="29">
        <f ca="1">IFERROR(__xludf.DUMMYFUNCTION("""COMPUTED_VALUE"""),0)</f>
        <v>0</v>
      </c>
      <c r="H692" s="30">
        <f ca="1">IFERROR(__xludf.DUMMYFUNCTION("""COMPUTED_VALUE"""),0)</f>
        <v>0</v>
      </c>
      <c r="I692" s="29">
        <f ca="1">IFERROR(__xludf.DUMMYFUNCTION("""COMPUTED_VALUE"""),2000)</f>
        <v>2000</v>
      </c>
      <c r="J692" s="29">
        <f ca="1">IFERROR(__xludf.DUMMYFUNCTION("""COMPUTED_VALUE"""),1)</f>
        <v>1</v>
      </c>
      <c r="K692" s="29">
        <f ca="1">IFERROR(__xludf.DUMMYFUNCTION("""COMPUTED_VALUE"""),2000)</f>
        <v>2000</v>
      </c>
      <c r="L692" s="29">
        <f ca="1">IFERROR(__xludf.DUMMYFUNCTION("""COMPUTED_VALUE"""),1)</f>
        <v>1</v>
      </c>
      <c r="M692" s="29">
        <f ca="1">IFERROR(__xludf.DUMMYFUNCTION("""COMPUTED_VALUE"""),0)</f>
        <v>0</v>
      </c>
      <c r="N692" s="29">
        <f ca="1">IFERROR(__xludf.DUMMYFUNCTION("""COMPUTED_VALUE"""),0)</f>
        <v>0</v>
      </c>
    </row>
    <row r="693" spans="2:14" ht="12.5">
      <c r="B693" s="2" t="str">
        <f ca="1">IFERROR(__xludf.DUMMYFUNCTION("""COMPUTED_VALUE"""),"吉賀高")</f>
        <v>吉賀高</v>
      </c>
      <c r="C693" s="2" t="str">
        <f ca="1">IFERROR(__xludf.DUMMYFUNCTION("""COMPUTED_VALUE"""),"#N/A")</f>
        <v>#N/A</v>
      </c>
      <c r="D693" s="2">
        <f ca="1">IFERROR(__xludf.DUMMYFUNCTION("""COMPUTED_VALUE"""),0)</f>
        <v>0</v>
      </c>
      <c r="E693" s="29">
        <f ca="1">IFERROR(__xludf.DUMMYFUNCTION("""COMPUTED_VALUE"""),0)</f>
        <v>0</v>
      </c>
      <c r="F693" s="30">
        <f ca="1">IFERROR(__xludf.DUMMYFUNCTION("""COMPUTED_VALUE"""),0)</f>
        <v>0</v>
      </c>
      <c r="G693" s="29">
        <f ca="1">IFERROR(__xludf.DUMMYFUNCTION("""COMPUTED_VALUE"""),0)</f>
        <v>0</v>
      </c>
      <c r="H693" s="30">
        <f ca="1">IFERROR(__xludf.DUMMYFUNCTION("""COMPUTED_VALUE"""),0)</f>
        <v>0</v>
      </c>
      <c r="I693" s="29">
        <f ca="1">IFERROR(__xludf.DUMMYFUNCTION("""COMPUTED_VALUE"""),2000)</f>
        <v>2000</v>
      </c>
      <c r="J693" s="29">
        <f ca="1">IFERROR(__xludf.DUMMYFUNCTION("""COMPUTED_VALUE"""),1)</f>
        <v>1</v>
      </c>
      <c r="K693" s="29">
        <f ca="1">IFERROR(__xludf.DUMMYFUNCTION("""COMPUTED_VALUE"""),0)</f>
        <v>0</v>
      </c>
      <c r="L693" s="29">
        <f ca="1">IFERROR(__xludf.DUMMYFUNCTION("""COMPUTED_VALUE"""),0)</f>
        <v>0</v>
      </c>
      <c r="M693" s="29">
        <f ca="1">IFERROR(__xludf.DUMMYFUNCTION("""COMPUTED_VALUE"""),0)</f>
        <v>0</v>
      </c>
      <c r="N693" s="29">
        <f ca="1">IFERROR(__xludf.DUMMYFUNCTION("""COMPUTED_VALUE"""),0)</f>
        <v>0</v>
      </c>
    </row>
    <row r="694" spans="2:14" ht="12.5">
      <c r="B694" s="2" t="str">
        <f ca="1">IFERROR(__xludf.DUMMYFUNCTION("""COMPUTED_VALUE"""),"福岡舞鶴高")</f>
        <v>福岡舞鶴高</v>
      </c>
      <c r="C694" s="2" t="str">
        <f ca="1">IFERROR(__xludf.DUMMYFUNCTION("""COMPUTED_VALUE"""),"#N/A")</f>
        <v>#N/A</v>
      </c>
      <c r="D694" s="2">
        <f ca="1">IFERROR(__xludf.DUMMYFUNCTION("""COMPUTED_VALUE"""),0)</f>
        <v>0</v>
      </c>
      <c r="E694" s="29">
        <f ca="1">IFERROR(__xludf.DUMMYFUNCTION("""COMPUTED_VALUE"""),0)</f>
        <v>0</v>
      </c>
      <c r="F694" s="30">
        <f ca="1">IFERROR(__xludf.DUMMYFUNCTION("""COMPUTED_VALUE"""),0)</f>
        <v>0</v>
      </c>
      <c r="G694" s="29">
        <f ca="1">IFERROR(__xludf.DUMMYFUNCTION("""COMPUTED_VALUE"""),0)</f>
        <v>0</v>
      </c>
      <c r="H694" s="30">
        <f ca="1">IFERROR(__xludf.DUMMYFUNCTION("""COMPUTED_VALUE"""),0)</f>
        <v>0</v>
      </c>
      <c r="I694" s="29">
        <f ca="1">IFERROR(__xludf.DUMMYFUNCTION("""COMPUTED_VALUE"""),2000)</f>
        <v>2000</v>
      </c>
      <c r="J694" s="29">
        <f ca="1">IFERROR(__xludf.DUMMYFUNCTION("""COMPUTED_VALUE"""),1)</f>
        <v>1</v>
      </c>
      <c r="K694" s="29">
        <f ca="1">IFERROR(__xludf.DUMMYFUNCTION("""COMPUTED_VALUE"""),6000)</f>
        <v>6000</v>
      </c>
      <c r="L694" s="29">
        <f ca="1">IFERROR(__xludf.DUMMYFUNCTION("""COMPUTED_VALUE"""),3)</f>
        <v>3</v>
      </c>
      <c r="M694" s="29">
        <f ca="1">IFERROR(__xludf.DUMMYFUNCTION("""COMPUTED_VALUE"""),0)</f>
        <v>0</v>
      </c>
      <c r="N694" s="29">
        <f ca="1">IFERROR(__xludf.DUMMYFUNCTION("""COMPUTED_VALUE"""),0)</f>
        <v>0</v>
      </c>
    </row>
    <row r="695" spans="2:14" ht="12.5">
      <c r="B695" s="2" t="str">
        <f ca="1">IFERROR(__xludf.DUMMYFUNCTION("""COMPUTED_VALUE"""),"八千代松陰高")</f>
        <v>八千代松陰高</v>
      </c>
      <c r="C695" s="2" t="str">
        <f ca="1">IFERROR(__xludf.DUMMYFUNCTION("""COMPUTED_VALUE"""),"#N/A")</f>
        <v>#N/A</v>
      </c>
      <c r="D695" s="2">
        <f ca="1">IFERROR(__xludf.DUMMYFUNCTION("""COMPUTED_VALUE"""),0)</f>
        <v>0</v>
      </c>
      <c r="E695" s="29">
        <f ca="1">IFERROR(__xludf.DUMMYFUNCTION("""COMPUTED_VALUE"""),0)</f>
        <v>0</v>
      </c>
      <c r="F695" s="30">
        <f ca="1">IFERROR(__xludf.DUMMYFUNCTION("""COMPUTED_VALUE"""),0)</f>
        <v>0</v>
      </c>
      <c r="G695" s="29">
        <f ca="1">IFERROR(__xludf.DUMMYFUNCTION("""COMPUTED_VALUE"""),0)</f>
        <v>0</v>
      </c>
      <c r="H695" s="30">
        <f ca="1">IFERROR(__xludf.DUMMYFUNCTION("""COMPUTED_VALUE"""),0)</f>
        <v>0</v>
      </c>
      <c r="I695" s="29">
        <f ca="1">IFERROR(__xludf.DUMMYFUNCTION("""COMPUTED_VALUE"""),2000)</f>
        <v>2000</v>
      </c>
      <c r="J695" s="29">
        <f ca="1">IFERROR(__xludf.DUMMYFUNCTION("""COMPUTED_VALUE"""),1)</f>
        <v>1</v>
      </c>
      <c r="K695" s="29">
        <f ca="1">IFERROR(__xludf.DUMMYFUNCTION("""COMPUTED_VALUE"""),0)</f>
        <v>0</v>
      </c>
      <c r="L695" s="29">
        <f ca="1">IFERROR(__xludf.DUMMYFUNCTION("""COMPUTED_VALUE"""),0)</f>
        <v>0</v>
      </c>
      <c r="M695" s="29">
        <f ca="1">IFERROR(__xludf.DUMMYFUNCTION("""COMPUTED_VALUE"""),0)</f>
        <v>0</v>
      </c>
      <c r="N695" s="29">
        <f ca="1">IFERROR(__xludf.DUMMYFUNCTION("""COMPUTED_VALUE"""),0)</f>
        <v>0</v>
      </c>
    </row>
    <row r="696" spans="2:14" ht="12.5">
      <c r="B696" s="2" t="str">
        <f ca="1">IFERROR(__xludf.DUMMYFUNCTION("""COMPUTED_VALUE"""),"豊丘高")</f>
        <v>豊丘高</v>
      </c>
      <c r="C696" s="2" t="str">
        <f ca="1">IFERROR(__xludf.DUMMYFUNCTION("""COMPUTED_VALUE"""),"#N/A")</f>
        <v>#N/A</v>
      </c>
      <c r="D696" s="2">
        <f ca="1">IFERROR(__xludf.DUMMYFUNCTION("""COMPUTED_VALUE"""),0)</f>
        <v>0</v>
      </c>
      <c r="E696" s="29">
        <f ca="1">IFERROR(__xludf.DUMMYFUNCTION("""COMPUTED_VALUE"""),0)</f>
        <v>0</v>
      </c>
      <c r="F696" s="30">
        <f ca="1">IFERROR(__xludf.DUMMYFUNCTION("""COMPUTED_VALUE"""),0)</f>
        <v>0</v>
      </c>
      <c r="G696" s="29">
        <f ca="1">IFERROR(__xludf.DUMMYFUNCTION("""COMPUTED_VALUE"""),0)</f>
        <v>0</v>
      </c>
      <c r="H696" s="30">
        <f ca="1">IFERROR(__xludf.DUMMYFUNCTION("""COMPUTED_VALUE"""),0)</f>
        <v>0</v>
      </c>
      <c r="I696" s="29">
        <f ca="1">IFERROR(__xludf.DUMMYFUNCTION("""COMPUTED_VALUE"""),2000)</f>
        <v>2000</v>
      </c>
      <c r="J696" s="29">
        <f ca="1">IFERROR(__xludf.DUMMYFUNCTION("""COMPUTED_VALUE"""),1)</f>
        <v>1</v>
      </c>
      <c r="K696" s="29">
        <f ca="1">IFERROR(__xludf.DUMMYFUNCTION("""COMPUTED_VALUE"""),0)</f>
        <v>0</v>
      </c>
      <c r="L696" s="29">
        <f ca="1">IFERROR(__xludf.DUMMYFUNCTION("""COMPUTED_VALUE"""),0)</f>
        <v>0</v>
      </c>
      <c r="M696" s="29">
        <f ca="1">IFERROR(__xludf.DUMMYFUNCTION("""COMPUTED_VALUE"""),0)</f>
        <v>0</v>
      </c>
      <c r="N696" s="29">
        <f ca="1">IFERROR(__xludf.DUMMYFUNCTION("""COMPUTED_VALUE"""),0)</f>
        <v>0</v>
      </c>
    </row>
    <row r="697" spans="2:14" ht="12.5">
      <c r="B697" s="2" t="str">
        <f ca="1">IFERROR(__xludf.DUMMYFUNCTION("""COMPUTED_VALUE"""),"久留米高")</f>
        <v>久留米高</v>
      </c>
      <c r="C697" s="2" t="str">
        <f ca="1">IFERROR(__xludf.DUMMYFUNCTION("""COMPUTED_VALUE"""),"#N/A")</f>
        <v>#N/A</v>
      </c>
      <c r="D697" s="2">
        <f ca="1">IFERROR(__xludf.DUMMYFUNCTION("""COMPUTED_VALUE"""),0)</f>
        <v>0</v>
      </c>
      <c r="E697" s="29">
        <f ca="1">IFERROR(__xludf.DUMMYFUNCTION("""COMPUTED_VALUE"""),0)</f>
        <v>0</v>
      </c>
      <c r="F697" s="30">
        <f ca="1">IFERROR(__xludf.DUMMYFUNCTION("""COMPUTED_VALUE"""),0)</f>
        <v>0</v>
      </c>
      <c r="G697" s="29">
        <f ca="1">IFERROR(__xludf.DUMMYFUNCTION("""COMPUTED_VALUE"""),0)</f>
        <v>0</v>
      </c>
      <c r="H697" s="30">
        <f ca="1">IFERROR(__xludf.DUMMYFUNCTION("""COMPUTED_VALUE"""),0)</f>
        <v>0</v>
      </c>
      <c r="I697" s="29">
        <f ca="1">IFERROR(__xludf.DUMMYFUNCTION("""COMPUTED_VALUE"""),2000)</f>
        <v>2000</v>
      </c>
      <c r="J697" s="29">
        <f ca="1">IFERROR(__xludf.DUMMYFUNCTION("""COMPUTED_VALUE"""),1)</f>
        <v>1</v>
      </c>
      <c r="K697" s="29">
        <f ca="1">IFERROR(__xludf.DUMMYFUNCTION("""COMPUTED_VALUE"""),0)</f>
        <v>0</v>
      </c>
      <c r="L697" s="29">
        <f ca="1">IFERROR(__xludf.DUMMYFUNCTION("""COMPUTED_VALUE"""),0)</f>
        <v>0</v>
      </c>
      <c r="M697" s="29">
        <f ca="1">IFERROR(__xludf.DUMMYFUNCTION("""COMPUTED_VALUE"""),0)</f>
        <v>0</v>
      </c>
      <c r="N697" s="29">
        <f ca="1">IFERROR(__xludf.DUMMYFUNCTION("""COMPUTED_VALUE"""),0)</f>
        <v>0</v>
      </c>
    </row>
    <row r="698" spans="2:14" ht="12.5">
      <c r="B698" s="2" t="str">
        <f ca="1">IFERROR(__xludf.DUMMYFUNCTION("""COMPUTED_VALUE"""),"佐賀西高")</f>
        <v>佐賀西高</v>
      </c>
      <c r="C698" s="2" t="str">
        <f ca="1">IFERROR(__xludf.DUMMYFUNCTION("""COMPUTED_VALUE"""),"#N/A")</f>
        <v>#N/A</v>
      </c>
      <c r="D698" s="2">
        <f ca="1">IFERROR(__xludf.DUMMYFUNCTION("""COMPUTED_VALUE"""),0)</f>
        <v>0</v>
      </c>
      <c r="E698" s="29">
        <f ca="1">IFERROR(__xludf.DUMMYFUNCTION("""COMPUTED_VALUE"""),0)</f>
        <v>0</v>
      </c>
      <c r="F698" s="30">
        <f ca="1">IFERROR(__xludf.DUMMYFUNCTION("""COMPUTED_VALUE"""),0)</f>
        <v>0</v>
      </c>
      <c r="G698" s="29">
        <f ca="1">IFERROR(__xludf.DUMMYFUNCTION("""COMPUTED_VALUE"""),0)</f>
        <v>0</v>
      </c>
      <c r="H698" s="30">
        <f ca="1">IFERROR(__xludf.DUMMYFUNCTION("""COMPUTED_VALUE"""),0)</f>
        <v>0</v>
      </c>
      <c r="I698" s="29">
        <f ca="1">IFERROR(__xludf.DUMMYFUNCTION("""COMPUTED_VALUE"""),2000)</f>
        <v>2000</v>
      </c>
      <c r="J698" s="29">
        <f ca="1">IFERROR(__xludf.DUMMYFUNCTION("""COMPUTED_VALUE"""),1)</f>
        <v>1</v>
      </c>
      <c r="K698" s="29">
        <f ca="1">IFERROR(__xludf.DUMMYFUNCTION("""COMPUTED_VALUE"""),0)</f>
        <v>0</v>
      </c>
      <c r="L698" s="29">
        <f ca="1">IFERROR(__xludf.DUMMYFUNCTION("""COMPUTED_VALUE"""),0)</f>
        <v>0</v>
      </c>
      <c r="M698" s="29">
        <f ca="1">IFERROR(__xludf.DUMMYFUNCTION("""COMPUTED_VALUE"""),0)</f>
        <v>0</v>
      </c>
      <c r="N698" s="29">
        <f ca="1">IFERROR(__xludf.DUMMYFUNCTION("""COMPUTED_VALUE"""),0)</f>
        <v>0</v>
      </c>
    </row>
    <row r="699" spans="2:14" ht="12.5">
      <c r="B699" s="2" t="str">
        <f ca="1">IFERROR(__xludf.DUMMYFUNCTION("""COMPUTED_VALUE"""),"会津高")</f>
        <v>会津高</v>
      </c>
      <c r="C699" s="2" t="str">
        <f ca="1">IFERROR(__xludf.DUMMYFUNCTION("""COMPUTED_VALUE"""),"#N/A")</f>
        <v>#N/A</v>
      </c>
      <c r="D699" s="2">
        <f ca="1">IFERROR(__xludf.DUMMYFUNCTION("""COMPUTED_VALUE"""),0)</f>
        <v>0</v>
      </c>
      <c r="E699" s="29">
        <f ca="1">IFERROR(__xludf.DUMMYFUNCTION("""COMPUTED_VALUE"""),0)</f>
        <v>0</v>
      </c>
      <c r="F699" s="30">
        <f ca="1">IFERROR(__xludf.DUMMYFUNCTION("""COMPUTED_VALUE"""),0)</f>
        <v>0</v>
      </c>
      <c r="G699" s="29">
        <f ca="1">IFERROR(__xludf.DUMMYFUNCTION("""COMPUTED_VALUE"""),0)</f>
        <v>0</v>
      </c>
      <c r="H699" s="30">
        <f ca="1">IFERROR(__xludf.DUMMYFUNCTION("""COMPUTED_VALUE"""),0)</f>
        <v>0</v>
      </c>
      <c r="I699" s="29">
        <f ca="1">IFERROR(__xludf.DUMMYFUNCTION("""COMPUTED_VALUE"""),2000)</f>
        <v>2000</v>
      </c>
      <c r="J699" s="29">
        <f ca="1">IFERROR(__xludf.DUMMYFUNCTION("""COMPUTED_VALUE"""),1)</f>
        <v>1</v>
      </c>
      <c r="K699" s="29">
        <f ca="1">IFERROR(__xludf.DUMMYFUNCTION("""COMPUTED_VALUE"""),0)</f>
        <v>0</v>
      </c>
      <c r="L699" s="29">
        <f ca="1">IFERROR(__xludf.DUMMYFUNCTION("""COMPUTED_VALUE"""),0)</f>
        <v>0</v>
      </c>
      <c r="M699" s="29">
        <f ca="1">IFERROR(__xludf.DUMMYFUNCTION("""COMPUTED_VALUE"""),0)</f>
        <v>0</v>
      </c>
      <c r="N699" s="29">
        <f ca="1">IFERROR(__xludf.DUMMYFUNCTION("""COMPUTED_VALUE"""),0)</f>
        <v>0</v>
      </c>
    </row>
    <row r="700" spans="2:14" ht="12.5">
      <c r="B700" s="2" t="str">
        <f ca="1">IFERROR(__xludf.DUMMYFUNCTION("""COMPUTED_VALUE"""),"宇都宮中央高")</f>
        <v>宇都宮中央高</v>
      </c>
      <c r="C700" s="2" t="str">
        <f ca="1">IFERROR(__xludf.DUMMYFUNCTION("""COMPUTED_VALUE"""),"#N/A")</f>
        <v>#N/A</v>
      </c>
      <c r="D700" s="2">
        <f ca="1">IFERROR(__xludf.DUMMYFUNCTION("""COMPUTED_VALUE"""),0)</f>
        <v>0</v>
      </c>
      <c r="E700" s="29">
        <f ca="1">IFERROR(__xludf.DUMMYFUNCTION("""COMPUTED_VALUE"""),0)</f>
        <v>0</v>
      </c>
      <c r="F700" s="30">
        <f ca="1">IFERROR(__xludf.DUMMYFUNCTION("""COMPUTED_VALUE"""),0)</f>
        <v>0</v>
      </c>
      <c r="G700" s="29">
        <f ca="1">IFERROR(__xludf.DUMMYFUNCTION("""COMPUTED_VALUE"""),0)</f>
        <v>0</v>
      </c>
      <c r="H700" s="30">
        <f ca="1">IFERROR(__xludf.DUMMYFUNCTION("""COMPUTED_VALUE"""),0)</f>
        <v>0</v>
      </c>
      <c r="I700" s="29">
        <f ca="1">IFERROR(__xludf.DUMMYFUNCTION("""COMPUTED_VALUE"""),6000)</f>
        <v>6000</v>
      </c>
      <c r="J700" s="29">
        <f ca="1">IFERROR(__xludf.DUMMYFUNCTION("""COMPUTED_VALUE"""),3)</f>
        <v>3</v>
      </c>
      <c r="K700" s="29">
        <f ca="1">IFERROR(__xludf.DUMMYFUNCTION("""COMPUTED_VALUE"""),4000)</f>
        <v>4000</v>
      </c>
      <c r="L700" s="29">
        <f ca="1">IFERROR(__xludf.DUMMYFUNCTION("""COMPUTED_VALUE"""),2)</f>
        <v>2</v>
      </c>
      <c r="M700" s="29">
        <f ca="1">IFERROR(__xludf.DUMMYFUNCTION("""COMPUTED_VALUE"""),0)</f>
        <v>0</v>
      </c>
      <c r="N700" s="29">
        <f ca="1">IFERROR(__xludf.DUMMYFUNCTION("""COMPUTED_VALUE"""),0)</f>
        <v>0</v>
      </c>
    </row>
    <row r="701" spans="2:14" ht="12.5">
      <c r="B701" s="2" t="str">
        <f ca="1">IFERROR(__xludf.DUMMYFUNCTION("""COMPUTED_VALUE"""),"幕張総合高")</f>
        <v>幕張総合高</v>
      </c>
      <c r="C701" s="2" t="str">
        <f ca="1">IFERROR(__xludf.DUMMYFUNCTION("""COMPUTED_VALUE"""),"#N/A")</f>
        <v>#N/A</v>
      </c>
      <c r="D701" s="2">
        <f ca="1">IFERROR(__xludf.DUMMYFUNCTION("""COMPUTED_VALUE"""),0)</f>
        <v>0</v>
      </c>
      <c r="E701" s="29">
        <f ca="1">IFERROR(__xludf.DUMMYFUNCTION("""COMPUTED_VALUE"""),0)</f>
        <v>0</v>
      </c>
      <c r="F701" s="30">
        <f ca="1">IFERROR(__xludf.DUMMYFUNCTION("""COMPUTED_VALUE"""),0)</f>
        <v>0</v>
      </c>
      <c r="G701" s="29">
        <f ca="1">IFERROR(__xludf.DUMMYFUNCTION("""COMPUTED_VALUE"""),0)</f>
        <v>0</v>
      </c>
      <c r="H701" s="30">
        <f ca="1">IFERROR(__xludf.DUMMYFUNCTION("""COMPUTED_VALUE"""),0)</f>
        <v>0</v>
      </c>
      <c r="I701" s="29">
        <f ca="1">IFERROR(__xludf.DUMMYFUNCTION("""COMPUTED_VALUE"""),10000)</f>
        <v>10000</v>
      </c>
      <c r="J701" s="29">
        <f ca="1">IFERROR(__xludf.DUMMYFUNCTION("""COMPUTED_VALUE"""),5)</f>
        <v>5</v>
      </c>
      <c r="K701" s="29">
        <f ca="1">IFERROR(__xludf.DUMMYFUNCTION("""COMPUTED_VALUE"""),6000)</f>
        <v>6000</v>
      </c>
      <c r="L701" s="29">
        <f ca="1">IFERROR(__xludf.DUMMYFUNCTION("""COMPUTED_VALUE"""),3)</f>
        <v>3</v>
      </c>
      <c r="M701" s="29">
        <f ca="1">IFERROR(__xludf.DUMMYFUNCTION("""COMPUTED_VALUE"""),0)</f>
        <v>0</v>
      </c>
      <c r="N701" s="29">
        <f ca="1">IFERROR(__xludf.DUMMYFUNCTION("""COMPUTED_VALUE"""),0)</f>
        <v>0</v>
      </c>
    </row>
    <row r="702" spans="2:14" ht="12.5">
      <c r="B702" s="2" t="str">
        <f ca="1">IFERROR(__xludf.DUMMYFUNCTION("""COMPUTED_VALUE"""),"横浜立野高")</f>
        <v>横浜立野高</v>
      </c>
      <c r="C702" s="2" t="str">
        <f ca="1">IFERROR(__xludf.DUMMYFUNCTION("""COMPUTED_VALUE"""),"#N/A")</f>
        <v>#N/A</v>
      </c>
      <c r="D702" s="2">
        <f ca="1">IFERROR(__xludf.DUMMYFUNCTION("""COMPUTED_VALUE"""),0)</f>
        <v>0</v>
      </c>
      <c r="E702" s="29">
        <f ca="1">IFERROR(__xludf.DUMMYFUNCTION("""COMPUTED_VALUE"""),0)</f>
        <v>0</v>
      </c>
      <c r="F702" s="30">
        <f ca="1">IFERROR(__xludf.DUMMYFUNCTION("""COMPUTED_VALUE"""),0)</f>
        <v>0</v>
      </c>
      <c r="G702" s="29">
        <f ca="1">IFERROR(__xludf.DUMMYFUNCTION("""COMPUTED_VALUE"""),0)</f>
        <v>0</v>
      </c>
      <c r="H702" s="30">
        <f ca="1">IFERROR(__xludf.DUMMYFUNCTION("""COMPUTED_VALUE"""),0)</f>
        <v>0</v>
      </c>
      <c r="I702" s="29">
        <f ca="1">IFERROR(__xludf.DUMMYFUNCTION("""COMPUTED_VALUE"""),2000)</f>
        <v>2000</v>
      </c>
      <c r="J702" s="29">
        <f ca="1">IFERROR(__xludf.DUMMYFUNCTION("""COMPUTED_VALUE"""),1)</f>
        <v>1</v>
      </c>
      <c r="K702" s="29">
        <f ca="1">IFERROR(__xludf.DUMMYFUNCTION("""COMPUTED_VALUE"""),2000)</f>
        <v>2000</v>
      </c>
      <c r="L702" s="29">
        <f ca="1">IFERROR(__xludf.DUMMYFUNCTION("""COMPUTED_VALUE"""),1)</f>
        <v>1</v>
      </c>
      <c r="M702" s="29">
        <f ca="1">IFERROR(__xludf.DUMMYFUNCTION("""COMPUTED_VALUE"""),0)</f>
        <v>0</v>
      </c>
      <c r="N702" s="29">
        <f ca="1">IFERROR(__xludf.DUMMYFUNCTION("""COMPUTED_VALUE"""),0)</f>
        <v>0</v>
      </c>
    </row>
    <row r="703" spans="2:14" ht="12.5">
      <c r="B703" s="2" t="str">
        <f ca="1">IFERROR(__xludf.DUMMYFUNCTION("""COMPUTED_VALUE"""),"法政大二高")</f>
        <v>法政大二高</v>
      </c>
      <c r="C703" s="2" t="str">
        <f ca="1">IFERROR(__xludf.DUMMYFUNCTION("""COMPUTED_VALUE"""),"#N/A")</f>
        <v>#N/A</v>
      </c>
      <c r="D703" s="2">
        <f ca="1">IFERROR(__xludf.DUMMYFUNCTION("""COMPUTED_VALUE"""),0)</f>
        <v>0</v>
      </c>
      <c r="E703" s="29">
        <f ca="1">IFERROR(__xludf.DUMMYFUNCTION("""COMPUTED_VALUE"""),0)</f>
        <v>0</v>
      </c>
      <c r="F703" s="30">
        <f ca="1">IFERROR(__xludf.DUMMYFUNCTION("""COMPUTED_VALUE"""),0)</f>
        <v>0</v>
      </c>
      <c r="G703" s="29">
        <f ca="1">IFERROR(__xludf.DUMMYFUNCTION("""COMPUTED_VALUE"""),0)</f>
        <v>0</v>
      </c>
      <c r="H703" s="30">
        <f ca="1">IFERROR(__xludf.DUMMYFUNCTION("""COMPUTED_VALUE"""),0)</f>
        <v>0</v>
      </c>
      <c r="I703" s="29">
        <f ca="1">IFERROR(__xludf.DUMMYFUNCTION("""COMPUTED_VALUE"""),2000)</f>
        <v>2000</v>
      </c>
      <c r="J703" s="29">
        <f ca="1">IFERROR(__xludf.DUMMYFUNCTION("""COMPUTED_VALUE"""),1)</f>
        <v>1</v>
      </c>
      <c r="K703" s="29">
        <f ca="1">IFERROR(__xludf.DUMMYFUNCTION("""COMPUTED_VALUE"""),8000)</f>
        <v>8000</v>
      </c>
      <c r="L703" s="29">
        <f ca="1">IFERROR(__xludf.DUMMYFUNCTION("""COMPUTED_VALUE"""),4)</f>
        <v>4</v>
      </c>
      <c r="M703" s="29">
        <f ca="1">IFERROR(__xludf.DUMMYFUNCTION("""COMPUTED_VALUE"""),0)</f>
        <v>0</v>
      </c>
      <c r="N703" s="29">
        <f ca="1">IFERROR(__xludf.DUMMYFUNCTION("""COMPUTED_VALUE"""),0)</f>
        <v>0</v>
      </c>
    </row>
    <row r="704" spans="2:14" ht="12.5">
      <c r="B704" s="2" t="str">
        <f ca="1">IFERROR(__xludf.DUMMYFUNCTION("""COMPUTED_VALUE"""),"愛知高")</f>
        <v>愛知高</v>
      </c>
      <c r="C704" s="2" t="str">
        <f ca="1">IFERROR(__xludf.DUMMYFUNCTION("""COMPUTED_VALUE"""),"#N/A")</f>
        <v>#N/A</v>
      </c>
      <c r="D704" s="2">
        <f ca="1">IFERROR(__xludf.DUMMYFUNCTION("""COMPUTED_VALUE"""),0)</f>
        <v>0</v>
      </c>
      <c r="E704" s="29">
        <f ca="1">IFERROR(__xludf.DUMMYFUNCTION("""COMPUTED_VALUE"""),0)</f>
        <v>0</v>
      </c>
      <c r="F704" s="30">
        <f ca="1">IFERROR(__xludf.DUMMYFUNCTION("""COMPUTED_VALUE"""),0)</f>
        <v>0</v>
      </c>
      <c r="G704" s="29">
        <f ca="1">IFERROR(__xludf.DUMMYFUNCTION("""COMPUTED_VALUE"""),0)</f>
        <v>0</v>
      </c>
      <c r="H704" s="30">
        <f ca="1">IFERROR(__xludf.DUMMYFUNCTION("""COMPUTED_VALUE"""),0)</f>
        <v>0</v>
      </c>
      <c r="I704" s="29">
        <f ca="1">IFERROR(__xludf.DUMMYFUNCTION("""COMPUTED_VALUE"""),2000)</f>
        <v>2000</v>
      </c>
      <c r="J704" s="29">
        <f ca="1">IFERROR(__xludf.DUMMYFUNCTION("""COMPUTED_VALUE"""),1)</f>
        <v>1</v>
      </c>
      <c r="K704" s="29">
        <f ca="1">IFERROR(__xludf.DUMMYFUNCTION("""COMPUTED_VALUE"""),0)</f>
        <v>0</v>
      </c>
      <c r="L704" s="29">
        <f ca="1">IFERROR(__xludf.DUMMYFUNCTION("""COMPUTED_VALUE"""),0)</f>
        <v>0</v>
      </c>
      <c r="M704" s="29">
        <f ca="1">IFERROR(__xludf.DUMMYFUNCTION("""COMPUTED_VALUE"""),0)</f>
        <v>0</v>
      </c>
      <c r="N704" s="29">
        <f ca="1">IFERROR(__xludf.DUMMYFUNCTION("""COMPUTED_VALUE"""),0)</f>
        <v>0</v>
      </c>
    </row>
    <row r="705" spans="2:14" ht="12.5">
      <c r="B705" s="2" t="str">
        <f ca="1">IFERROR(__xludf.DUMMYFUNCTION("""COMPUTED_VALUE"""),"北嵯峨高")</f>
        <v>北嵯峨高</v>
      </c>
      <c r="C705" s="2" t="str">
        <f ca="1">IFERROR(__xludf.DUMMYFUNCTION("""COMPUTED_VALUE"""),"#N/A")</f>
        <v>#N/A</v>
      </c>
      <c r="D705" s="2">
        <f ca="1">IFERROR(__xludf.DUMMYFUNCTION("""COMPUTED_VALUE"""),0)</f>
        <v>0</v>
      </c>
      <c r="E705" s="29">
        <f ca="1">IFERROR(__xludf.DUMMYFUNCTION("""COMPUTED_VALUE"""),0)</f>
        <v>0</v>
      </c>
      <c r="F705" s="30">
        <f ca="1">IFERROR(__xludf.DUMMYFUNCTION("""COMPUTED_VALUE"""),0)</f>
        <v>0</v>
      </c>
      <c r="G705" s="29">
        <f ca="1">IFERROR(__xludf.DUMMYFUNCTION("""COMPUTED_VALUE"""),0)</f>
        <v>0</v>
      </c>
      <c r="H705" s="30">
        <f ca="1">IFERROR(__xludf.DUMMYFUNCTION("""COMPUTED_VALUE"""),0)</f>
        <v>0</v>
      </c>
      <c r="I705" s="29">
        <f ca="1">IFERROR(__xludf.DUMMYFUNCTION("""COMPUTED_VALUE"""),2000)</f>
        <v>2000</v>
      </c>
      <c r="J705" s="29">
        <f ca="1">IFERROR(__xludf.DUMMYFUNCTION("""COMPUTED_VALUE"""),1)</f>
        <v>1</v>
      </c>
      <c r="K705" s="29">
        <f ca="1">IFERROR(__xludf.DUMMYFUNCTION("""COMPUTED_VALUE"""),0)</f>
        <v>0</v>
      </c>
      <c r="L705" s="29">
        <f ca="1">IFERROR(__xludf.DUMMYFUNCTION("""COMPUTED_VALUE"""),0)</f>
        <v>0</v>
      </c>
      <c r="M705" s="29">
        <f ca="1">IFERROR(__xludf.DUMMYFUNCTION("""COMPUTED_VALUE"""),0)</f>
        <v>0</v>
      </c>
      <c r="N705" s="29">
        <f ca="1">IFERROR(__xludf.DUMMYFUNCTION("""COMPUTED_VALUE"""),0)</f>
        <v>0</v>
      </c>
    </row>
    <row r="706" spans="2:14" ht="12.5">
      <c r="B706" s="2" t="str">
        <f ca="1">IFERROR(__xludf.DUMMYFUNCTION("""COMPUTED_VALUE"""),"クラーク高")</f>
        <v>クラーク高</v>
      </c>
      <c r="C706" s="2" t="str">
        <f ca="1">IFERROR(__xludf.DUMMYFUNCTION("""COMPUTED_VALUE"""),"#N/A")</f>
        <v>#N/A</v>
      </c>
      <c r="D706" s="2">
        <f ca="1">IFERROR(__xludf.DUMMYFUNCTION("""COMPUTED_VALUE"""),0)</f>
        <v>0</v>
      </c>
      <c r="E706" s="29">
        <f ca="1">IFERROR(__xludf.DUMMYFUNCTION("""COMPUTED_VALUE"""),0)</f>
        <v>0</v>
      </c>
      <c r="F706" s="30">
        <f ca="1">IFERROR(__xludf.DUMMYFUNCTION("""COMPUTED_VALUE"""),0)</f>
        <v>0</v>
      </c>
      <c r="G706" s="29">
        <f ca="1">IFERROR(__xludf.DUMMYFUNCTION("""COMPUTED_VALUE"""),0)</f>
        <v>0</v>
      </c>
      <c r="H706" s="30">
        <f ca="1">IFERROR(__xludf.DUMMYFUNCTION("""COMPUTED_VALUE"""),0)</f>
        <v>0</v>
      </c>
      <c r="I706" s="29">
        <f ca="1">IFERROR(__xludf.DUMMYFUNCTION("""COMPUTED_VALUE"""),2000)</f>
        <v>2000</v>
      </c>
      <c r="J706" s="29">
        <f ca="1">IFERROR(__xludf.DUMMYFUNCTION("""COMPUTED_VALUE"""),1)</f>
        <v>1</v>
      </c>
      <c r="K706" s="29">
        <f ca="1">IFERROR(__xludf.DUMMYFUNCTION("""COMPUTED_VALUE"""),0)</f>
        <v>0</v>
      </c>
      <c r="L706" s="29">
        <f ca="1">IFERROR(__xludf.DUMMYFUNCTION("""COMPUTED_VALUE"""),0)</f>
        <v>0</v>
      </c>
      <c r="M706" s="29">
        <f ca="1">IFERROR(__xludf.DUMMYFUNCTION("""COMPUTED_VALUE"""),0)</f>
        <v>0</v>
      </c>
      <c r="N706" s="29">
        <f ca="1">IFERROR(__xludf.DUMMYFUNCTION("""COMPUTED_VALUE"""),0)</f>
        <v>0</v>
      </c>
    </row>
    <row r="707" spans="2:14" ht="12.5">
      <c r="B707" s="2" t="str">
        <f ca="1">IFERROR(__xludf.DUMMYFUNCTION("""COMPUTED_VALUE"""),"生野高")</f>
        <v>生野高</v>
      </c>
      <c r="C707" s="2" t="str">
        <f ca="1">IFERROR(__xludf.DUMMYFUNCTION("""COMPUTED_VALUE"""),"#N/A")</f>
        <v>#N/A</v>
      </c>
      <c r="D707" s="2">
        <f ca="1">IFERROR(__xludf.DUMMYFUNCTION("""COMPUTED_VALUE"""),0)</f>
        <v>0</v>
      </c>
      <c r="E707" s="29">
        <f ca="1">IFERROR(__xludf.DUMMYFUNCTION("""COMPUTED_VALUE"""),0)</f>
        <v>0</v>
      </c>
      <c r="F707" s="30">
        <f ca="1">IFERROR(__xludf.DUMMYFUNCTION("""COMPUTED_VALUE"""),0)</f>
        <v>0</v>
      </c>
      <c r="G707" s="29">
        <f ca="1">IFERROR(__xludf.DUMMYFUNCTION("""COMPUTED_VALUE"""),0)</f>
        <v>0</v>
      </c>
      <c r="H707" s="30">
        <f ca="1">IFERROR(__xludf.DUMMYFUNCTION("""COMPUTED_VALUE"""),0)</f>
        <v>0</v>
      </c>
      <c r="I707" s="29">
        <f ca="1">IFERROR(__xludf.DUMMYFUNCTION("""COMPUTED_VALUE"""),6000)</f>
        <v>6000</v>
      </c>
      <c r="J707" s="29">
        <f ca="1">IFERROR(__xludf.DUMMYFUNCTION("""COMPUTED_VALUE"""),3)</f>
        <v>3</v>
      </c>
      <c r="K707" s="29">
        <f ca="1">IFERROR(__xludf.DUMMYFUNCTION("""COMPUTED_VALUE"""),6000)</f>
        <v>6000</v>
      </c>
      <c r="L707" s="29">
        <f ca="1">IFERROR(__xludf.DUMMYFUNCTION("""COMPUTED_VALUE"""),3)</f>
        <v>3</v>
      </c>
      <c r="M707" s="29">
        <f ca="1">IFERROR(__xludf.DUMMYFUNCTION("""COMPUTED_VALUE"""),0)</f>
        <v>0</v>
      </c>
      <c r="N707" s="29">
        <f ca="1">IFERROR(__xludf.DUMMYFUNCTION("""COMPUTED_VALUE"""),0)</f>
        <v>0</v>
      </c>
    </row>
    <row r="708" spans="2:14" ht="12.5">
      <c r="B708" s="2" t="str">
        <f ca="1">IFERROR(__xludf.DUMMYFUNCTION("""COMPUTED_VALUE"""),"鳥栖高")</f>
        <v>鳥栖高</v>
      </c>
      <c r="C708" s="2" t="str">
        <f ca="1">IFERROR(__xludf.DUMMYFUNCTION("""COMPUTED_VALUE"""),"#N/A")</f>
        <v>#N/A</v>
      </c>
      <c r="D708" s="2">
        <f ca="1">IFERROR(__xludf.DUMMYFUNCTION("""COMPUTED_VALUE"""),0)</f>
        <v>0</v>
      </c>
      <c r="E708" s="29">
        <f ca="1">IFERROR(__xludf.DUMMYFUNCTION("""COMPUTED_VALUE"""),0)</f>
        <v>0</v>
      </c>
      <c r="F708" s="30">
        <f ca="1">IFERROR(__xludf.DUMMYFUNCTION("""COMPUTED_VALUE"""),0)</f>
        <v>0</v>
      </c>
      <c r="G708" s="29">
        <f ca="1">IFERROR(__xludf.DUMMYFUNCTION("""COMPUTED_VALUE"""),0)</f>
        <v>0</v>
      </c>
      <c r="H708" s="30">
        <f ca="1">IFERROR(__xludf.DUMMYFUNCTION("""COMPUTED_VALUE"""),0)</f>
        <v>0</v>
      </c>
      <c r="I708" s="29">
        <f ca="1">IFERROR(__xludf.DUMMYFUNCTION("""COMPUTED_VALUE"""),6000)</f>
        <v>6000</v>
      </c>
      <c r="J708" s="29">
        <f ca="1">IFERROR(__xludf.DUMMYFUNCTION("""COMPUTED_VALUE"""),3)</f>
        <v>3</v>
      </c>
      <c r="K708" s="29">
        <f ca="1">IFERROR(__xludf.DUMMYFUNCTION("""COMPUTED_VALUE"""),10000)</f>
        <v>10000</v>
      </c>
      <c r="L708" s="29">
        <f ca="1">IFERROR(__xludf.DUMMYFUNCTION("""COMPUTED_VALUE"""),5)</f>
        <v>5</v>
      </c>
      <c r="M708" s="29">
        <f ca="1">IFERROR(__xludf.DUMMYFUNCTION("""COMPUTED_VALUE"""),0)</f>
        <v>0</v>
      </c>
      <c r="N708" s="29">
        <f ca="1">IFERROR(__xludf.DUMMYFUNCTION("""COMPUTED_VALUE"""),0)</f>
        <v>0</v>
      </c>
    </row>
    <row r="709" spans="2:14" ht="12.5">
      <c r="B709" s="2" t="str">
        <f ca="1">IFERROR(__xludf.DUMMYFUNCTION("""COMPUTED_VALUE"""),"花北青雲高")</f>
        <v>花北青雲高</v>
      </c>
      <c r="C709" s="2" t="str">
        <f ca="1">IFERROR(__xludf.DUMMYFUNCTION("""COMPUTED_VALUE"""),"#N/A")</f>
        <v>#N/A</v>
      </c>
      <c r="D709" s="2">
        <f ca="1">IFERROR(__xludf.DUMMYFUNCTION("""COMPUTED_VALUE"""),0)</f>
        <v>0</v>
      </c>
      <c r="E709" s="29">
        <f ca="1">IFERROR(__xludf.DUMMYFUNCTION("""COMPUTED_VALUE"""),0)</f>
        <v>0</v>
      </c>
      <c r="F709" s="30">
        <f ca="1">IFERROR(__xludf.DUMMYFUNCTION("""COMPUTED_VALUE"""),0)</f>
        <v>0</v>
      </c>
      <c r="G709" s="29">
        <f ca="1">IFERROR(__xludf.DUMMYFUNCTION("""COMPUTED_VALUE"""),0)</f>
        <v>0</v>
      </c>
      <c r="H709" s="30">
        <f ca="1">IFERROR(__xludf.DUMMYFUNCTION("""COMPUTED_VALUE"""),0)</f>
        <v>0</v>
      </c>
      <c r="I709" s="29">
        <f ca="1">IFERROR(__xludf.DUMMYFUNCTION("""COMPUTED_VALUE"""),2000)</f>
        <v>2000</v>
      </c>
      <c r="J709" s="29">
        <f ca="1">IFERROR(__xludf.DUMMYFUNCTION("""COMPUTED_VALUE"""),1)</f>
        <v>1</v>
      </c>
      <c r="K709" s="29">
        <f ca="1">IFERROR(__xludf.DUMMYFUNCTION("""COMPUTED_VALUE"""),0)</f>
        <v>0</v>
      </c>
      <c r="L709" s="29">
        <f ca="1">IFERROR(__xludf.DUMMYFUNCTION("""COMPUTED_VALUE"""),0)</f>
        <v>0</v>
      </c>
      <c r="M709" s="29">
        <f ca="1">IFERROR(__xludf.DUMMYFUNCTION("""COMPUTED_VALUE"""),0)</f>
        <v>0</v>
      </c>
      <c r="N709" s="29">
        <f ca="1">IFERROR(__xludf.DUMMYFUNCTION("""COMPUTED_VALUE"""),0)</f>
        <v>0</v>
      </c>
    </row>
    <row r="710" spans="2:14" ht="12.5">
      <c r="B710" s="2" t="str">
        <f ca="1">IFERROR(__xludf.DUMMYFUNCTION("""COMPUTED_VALUE"""),"元石川高")</f>
        <v>元石川高</v>
      </c>
      <c r="C710" s="2" t="str">
        <f ca="1">IFERROR(__xludf.DUMMYFUNCTION("""COMPUTED_VALUE"""),"#N/A")</f>
        <v>#N/A</v>
      </c>
      <c r="D710" s="2">
        <f ca="1">IFERROR(__xludf.DUMMYFUNCTION("""COMPUTED_VALUE"""),0)</f>
        <v>0</v>
      </c>
      <c r="E710" s="29">
        <f ca="1">IFERROR(__xludf.DUMMYFUNCTION("""COMPUTED_VALUE"""),0)</f>
        <v>0</v>
      </c>
      <c r="F710" s="30">
        <f ca="1">IFERROR(__xludf.DUMMYFUNCTION("""COMPUTED_VALUE"""),0)</f>
        <v>0</v>
      </c>
      <c r="G710" s="29">
        <f ca="1">IFERROR(__xludf.DUMMYFUNCTION("""COMPUTED_VALUE"""),0)</f>
        <v>0</v>
      </c>
      <c r="H710" s="30">
        <f ca="1">IFERROR(__xludf.DUMMYFUNCTION("""COMPUTED_VALUE"""),0)</f>
        <v>0</v>
      </c>
      <c r="I710" s="29">
        <f ca="1">IFERROR(__xludf.DUMMYFUNCTION("""COMPUTED_VALUE"""),4000)</f>
        <v>4000</v>
      </c>
      <c r="J710" s="29">
        <f ca="1">IFERROR(__xludf.DUMMYFUNCTION("""COMPUTED_VALUE"""),2)</f>
        <v>2</v>
      </c>
      <c r="K710" s="29">
        <f ca="1">IFERROR(__xludf.DUMMYFUNCTION("""COMPUTED_VALUE"""),0)</f>
        <v>0</v>
      </c>
      <c r="L710" s="29">
        <f ca="1">IFERROR(__xludf.DUMMYFUNCTION("""COMPUTED_VALUE"""),0)</f>
        <v>0</v>
      </c>
      <c r="M710" s="29">
        <f ca="1">IFERROR(__xludf.DUMMYFUNCTION("""COMPUTED_VALUE"""),0)</f>
        <v>0</v>
      </c>
      <c r="N710" s="29">
        <f ca="1">IFERROR(__xludf.DUMMYFUNCTION("""COMPUTED_VALUE"""),0)</f>
        <v>0</v>
      </c>
    </row>
    <row r="711" spans="2:14" ht="12.5">
      <c r="B711" s="2" t="str">
        <f ca="1">IFERROR(__xludf.DUMMYFUNCTION("""COMPUTED_VALUE"""),"甲府西高")</f>
        <v>甲府西高</v>
      </c>
      <c r="C711" s="2" t="str">
        <f ca="1">IFERROR(__xludf.DUMMYFUNCTION("""COMPUTED_VALUE"""),"#N/A")</f>
        <v>#N/A</v>
      </c>
      <c r="D711" s="2">
        <f ca="1">IFERROR(__xludf.DUMMYFUNCTION("""COMPUTED_VALUE"""),0)</f>
        <v>0</v>
      </c>
      <c r="E711" s="29">
        <f ca="1">IFERROR(__xludf.DUMMYFUNCTION("""COMPUTED_VALUE"""),0)</f>
        <v>0</v>
      </c>
      <c r="F711" s="30">
        <f ca="1">IFERROR(__xludf.DUMMYFUNCTION("""COMPUTED_VALUE"""),0)</f>
        <v>0</v>
      </c>
      <c r="G711" s="29">
        <f ca="1">IFERROR(__xludf.DUMMYFUNCTION("""COMPUTED_VALUE"""),0)</f>
        <v>0</v>
      </c>
      <c r="H711" s="30">
        <f ca="1">IFERROR(__xludf.DUMMYFUNCTION("""COMPUTED_VALUE"""),0)</f>
        <v>0</v>
      </c>
      <c r="I711" s="29">
        <f ca="1">IFERROR(__xludf.DUMMYFUNCTION("""COMPUTED_VALUE"""),2000)</f>
        <v>2000</v>
      </c>
      <c r="J711" s="29">
        <f ca="1">IFERROR(__xludf.DUMMYFUNCTION("""COMPUTED_VALUE"""),1)</f>
        <v>1</v>
      </c>
      <c r="K711" s="29">
        <f ca="1">IFERROR(__xludf.DUMMYFUNCTION("""COMPUTED_VALUE"""),0)</f>
        <v>0</v>
      </c>
      <c r="L711" s="29">
        <f ca="1">IFERROR(__xludf.DUMMYFUNCTION("""COMPUTED_VALUE"""),0)</f>
        <v>0</v>
      </c>
      <c r="M711" s="29">
        <f ca="1">IFERROR(__xludf.DUMMYFUNCTION("""COMPUTED_VALUE"""),0)</f>
        <v>0</v>
      </c>
      <c r="N711" s="29">
        <f ca="1">IFERROR(__xludf.DUMMYFUNCTION("""COMPUTED_VALUE"""),0)</f>
        <v>0</v>
      </c>
    </row>
    <row r="712" spans="2:14" ht="12.5">
      <c r="B712" s="2" t="str">
        <f ca="1">IFERROR(__xludf.DUMMYFUNCTION("""COMPUTED_VALUE"""),"諏訪二葉高")</f>
        <v>諏訪二葉高</v>
      </c>
      <c r="C712" s="2" t="str">
        <f ca="1">IFERROR(__xludf.DUMMYFUNCTION("""COMPUTED_VALUE"""),"#N/A")</f>
        <v>#N/A</v>
      </c>
      <c r="D712" s="2">
        <f ca="1">IFERROR(__xludf.DUMMYFUNCTION("""COMPUTED_VALUE"""),0)</f>
        <v>0</v>
      </c>
      <c r="E712" s="29">
        <f ca="1">IFERROR(__xludf.DUMMYFUNCTION("""COMPUTED_VALUE"""),0)</f>
        <v>0</v>
      </c>
      <c r="F712" s="30">
        <f ca="1">IFERROR(__xludf.DUMMYFUNCTION("""COMPUTED_VALUE"""),0)</f>
        <v>0</v>
      </c>
      <c r="G712" s="29">
        <f ca="1">IFERROR(__xludf.DUMMYFUNCTION("""COMPUTED_VALUE"""),0)</f>
        <v>0</v>
      </c>
      <c r="H712" s="30">
        <f ca="1">IFERROR(__xludf.DUMMYFUNCTION("""COMPUTED_VALUE"""),0)</f>
        <v>0</v>
      </c>
      <c r="I712" s="29">
        <f ca="1">IFERROR(__xludf.DUMMYFUNCTION("""COMPUTED_VALUE"""),6000)</f>
        <v>6000</v>
      </c>
      <c r="J712" s="29">
        <f ca="1">IFERROR(__xludf.DUMMYFUNCTION("""COMPUTED_VALUE"""),3)</f>
        <v>3</v>
      </c>
      <c r="K712" s="29">
        <f ca="1">IFERROR(__xludf.DUMMYFUNCTION("""COMPUTED_VALUE"""),6000)</f>
        <v>6000</v>
      </c>
      <c r="L712" s="29">
        <f ca="1">IFERROR(__xludf.DUMMYFUNCTION("""COMPUTED_VALUE"""),3)</f>
        <v>3</v>
      </c>
      <c r="M712" s="29">
        <f ca="1">IFERROR(__xludf.DUMMYFUNCTION("""COMPUTED_VALUE"""),0)</f>
        <v>0</v>
      </c>
      <c r="N712" s="29">
        <f ca="1">IFERROR(__xludf.DUMMYFUNCTION("""COMPUTED_VALUE"""),0)</f>
        <v>0</v>
      </c>
    </row>
    <row r="713" spans="2:14" ht="12.5">
      <c r="B713" s="2" t="str">
        <f ca="1">IFERROR(__xludf.DUMMYFUNCTION("""COMPUTED_VALUE"""),"桜花学園高")</f>
        <v>桜花学園高</v>
      </c>
      <c r="C713" s="2" t="str">
        <f ca="1">IFERROR(__xludf.DUMMYFUNCTION("""COMPUTED_VALUE"""),"#N/A")</f>
        <v>#N/A</v>
      </c>
      <c r="D713" s="2">
        <f ca="1">IFERROR(__xludf.DUMMYFUNCTION("""COMPUTED_VALUE"""),0)</f>
        <v>0</v>
      </c>
      <c r="E713" s="29">
        <f ca="1">IFERROR(__xludf.DUMMYFUNCTION("""COMPUTED_VALUE"""),0)</f>
        <v>0</v>
      </c>
      <c r="F713" s="30">
        <f ca="1">IFERROR(__xludf.DUMMYFUNCTION("""COMPUTED_VALUE"""),0)</f>
        <v>0</v>
      </c>
      <c r="G713" s="29">
        <f ca="1">IFERROR(__xludf.DUMMYFUNCTION("""COMPUTED_VALUE"""),0)</f>
        <v>0</v>
      </c>
      <c r="H713" s="30">
        <f ca="1">IFERROR(__xludf.DUMMYFUNCTION("""COMPUTED_VALUE"""),0)</f>
        <v>0</v>
      </c>
      <c r="I713" s="29">
        <f ca="1">IFERROR(__xludf.DUMMYFUNCTION("""COMPUTED_VALUE"""),6000)</f>
        <v>6000</v>
      </c>
      <c r="J713" s="29">
        <f ca="1">IFERROR(__xludf.DUMMYFUNCTION("""COMPUTED_VALUE"""),3)</f>
        <v>3</v>
      </c>
      <c r="K713" s="29">
        <f ca="1">IFERROR(__xludf.DUMMYFUNCTION("""COMPUTED_VALUE"""),6000)</f>
        <v>6000</v>
      </c>
      <c r="L713" s="29">
        <f ca="1">IFERROR(__xludf.DUMMYFUNCTION("""COMPUTED_VALUE"""),3)</f>
        <v>3</v>
      </c>
      <c r="M713" s="29">
        <f ca="1">IFERROR(__xludf.DUMMYFUNCTION("""COMPUTED_VALUE"""),0)</f>
        <v>0</v>
      </c>
      <c r="N713" s="29">
        <f ca="1">IFERROR(__xludf.DUMMYFUNCTION("""COMPUTED_VALUE"""),0)</f>
        <v>0</v>
      </c>
    </row>
    <row r="714" spans="2:14" ht="12.5">
      <c r="B714" s="2" t="str">
        <f ca="1">IFERROR(__xludf.DUMMYFUNCTION("""COMPUTED_VALUE"""),"開明高")</f>
        <v>開明高</v>
      </c>
      <c r="C714" s="2" t="str">
        <f ca="1">IFERROR(__xludf.DUMMYFUNCTION("""COMPUTED_VALUE"""),"#N/A")</f>
        <v>#N/A</v>
      </c>
      <c r="D714" s="2">
        <f ca="1">IFERROR(__xludf.DUMMYFUNCTION("""COMPUTED_VALUE"""),0)</f>
        <v>0</v>
      </c>
      <c r="E714" s="29">
        <f ca="1">IFERROR(__xludf.DUMMYFUNCTION("""COMPUTED_VALUE"""),0)</f>
        <v>0</v>
      </c>
      <c r="F714" s="30">
        <f ca="1">IFERROR(__xludf.DUMMYFUNCTION("""COMPUTED_VALUE"""),0)</f>
        <v>0</v>
      </c>
      <c r="G714" s="29">
        <f ca="1">IFERROR(__xludf.DUMMYFUNCTION("""COMPUTED_VALUE"""),0)</f>
        <v>0</v>
      </c>
      <c r="H714" s="30">
        <f ca="1">IFERROR(__xludf.DUMMYFUNCTION("""COMPUTED_VALUE"""),0)</f>
        <v>0</v>
      </c>
      <c r="I714" s="29">
        <f ca="1">IFERROR(__xludf.DUMMYFUNCTION("""COMPUTED_VALUE"""),10000)</f>
        <v>10000</v>
      </c>
      <c r="J714" s="29">
        <f ca="1">IFERROR(__xludf.DUMMYFUNCTION("""COMPUTED_VALUE"""),5)</f>
        <v>5</v>
      </c>
      <c r="K714" s="29">
        <f ca="1">IFERROR(__xludf.DUMMYFUNCTION("""COMPUTED_VALUE"""),6000)</f>
        <v>6000</v>
      </c>
      <c r="L714" s="29">
        <f ca="1">IFERROR(__xludf.DUMMYFUNCTION("""COMPUTED_VALUE"""),3)</f>
        <v>3</v>
      </c>
      <c r="M714" s="29">
        <f ca="1">IFERROR(__xludf.DUMMYFUNCTION("""COMPUTED_VALUE"""),0)</f>
        <v>0</v>
      </c>
      <c r="N714" s="29">
        <f ca="1">IFERROR(__xludf.DUMMYFUNCTION("""COMPUTED_VALUE"""),0)</f>
        <v>0</v>
      </c>
    </row>
    <row r="715" spans="2:14" ht="12.5">
      <c r="B715" s="2" t="str">
        <f ca="1">IFERROR(__xludf.DUMMYFUNCTION("""COMPUTED_VALUE"""),"大宮高")</f>
        <v>大宮高</v>
      </c>
      <c r="C715" s="2" t="str">
        <f ca="1">IFERROR(__xludf.DUMMYFUNCTION("""COMPUTED_VALUE"""),"#N/A")</f>
        <v>#N/A</v>
      </c>
      <c r="D715" s="2">
        <f ca="1">IFERROR(__xludf.DUMMYFUNCTION("""COMPUTED_VALUE"""),0)</f>
        <v>0</v>
      </c>
      <c r="E715" s="29">
        <f ca="1">IFERROR(__xludf.DUMMYFUNCTION("""COMPUTED_VALUE"""),0)</f>
        <v>0</v>
      </c>
      <c r="F715" s="30">
        <f ca="1">IFERROR(__xludf.DUMMYFUNCTION("""COMPUTED_VALUE"""),0)</f>
        <v>0</v>
      </c>
      <c r="G715" s="29">
        <f ca="1">IFERROR(__xludf.DUMMYFUNCTION("""COMPUTED_VALUE"""),0)</f>
        <v>0</v>
      </c>
      <c r="H715" s="30">
        <f ca="1">IFERROR(__xludf.DUMMYFUNCTION("""COMPUTED_VALUE"""),0)</f>
        <v>0</v>
      </c>
      <c r="I715" s="29">
        <f ca="1">IFERROR(__xludf.DUMMYFUNCTION("""COMPUTED_VALUE"""),2000)</f>
        <v>2000</v>
      </c>
      <c r="J715" s="29">
        <f ca="1">IFERROR(__xludf.DUMMYFUNCTION("""COMPUTED_VALUE"""),1)</f>
        <v>1</v>
      </c>
      <c r="K715" s="29">
        <f ca="1">IFERROR(__xludf.DUMMYFUNCTION("""COMPUTED_VALUE"""),10000)</f>
        <v>10000</v>
      </c>
      <c r="L715" s="29">
        <f ca="1">IFERROR(__xludf.DUMMYFUNCTION("""COMPUTED_VALUE"""),5)</f>
        <v>5</v>
      </c>
      <c r="M715" s="29">
        <f ca="1">IFERROR(__xludf.DUMMYFUNCTION("""COMPUTED_VALUE"""),0)</f>
        <v>0</v>
      </c>
      <c r="N715" s="29">
        <f ca="1">IFERROR(__xludf.DUMMYFUNCTION("""COMPUTED_VALUE"""),0)</f>
        <v>0</v>
      </c>
    </row>
    <row r="716" spans="2:14" ht="12.5">
      <c r="B716" s="2" t="str">
        <f ca="1">IFERROR(__xludf.DUMMYFUNCTION("""COMPUTED_VALUE"""),"文京高")</f>
        <v>文京高</v>
      </c>
      <c r="C716" s="2" t="str">
        <f ca="1">IFERROR(__xludf.DUMMYFUNCTION("""COMPUTED_VALUE"""),"#N/A")</f>
        <v>#N/A</v>
      </c>
      <c r="D716" s="2">
        <f ca="1">IFERROR(__xludf.DUMMYFUNCTION("""COMPUTED_VALUE"""),0)</f>
        <v>0</v>
      </c>
      <c r="E716" s="29">
        <f ca="1">IFERROR(__xludf.DUMMYFUNCTION("""COMPUTED_VALUE"""),0)</f>
        <v>0</v>
      </c>
      <c r="F716" s="30">
        <f ca="1">IFERROR(__xludf.DUMMYFUNCTION("""COMPUTED_VALUE"""),0)</f>
        <v>0</v>
      </c>
      <c r="G716" s="29">
        <f ca="1">IFERROR(__xludf.DUMMYFUNCTION("""COMPUTED_VALUE"""),0)</f>
        <v>0</v>
      </c>
      <c r="H716" s="30">
        <f ca="1">IFERROR(__xludf.DUMMYFUNCTION("""COMPUTED_VALUE"""),0)</f>
        <v>0</v>
      </c>
      <c r="I716" s="29">
        <f ca="1">IFERROR(__xludf.DUMMYFUNCTION("""COMPUTED_VALUE"""),2000)</f>
        <v>2000</v>
      </c>
      <c r="J716" s="29">
        <f ca="1">IFERROR(__xludf.DUMMYFUNCTION("""COMPUTED_VALUE"""),1)</f>
        <v>1</v>
      </c>
      <c r="K716" s="29">
        <f ca="1">IFERROR(__xludf.DUMMYFUNCTION("""COMPUTED_VALUE"""),0)</f>
        <v>0</v>
      </c>
      <c r="L716" s="29">
        <f ca="1">IFERROR(__xludf.DUMMYFUNCTION("""COMPUTED_VALUE"""),0)</f>
        <v>0</v>
      </c>
      <c r="M716" s="29">
        <f ca="1">IFERROR(__xludf.DUMMYFUNCTION("""COMPUTED_VALUE"""),0)</f>
        <v>0</v>
      </c>
      <c r="N716" s="29">
        <f ca="1">IFERROR(__xludf.DUMMYFUNCTION("""COMPUTED_VALUE"""),0)</f>
        <v>0</v>
      </c>
    </row>
    <row r="717" spans="2:14" ht="12.5">
      <c r="B717" s="2" t="str">
        <f ca="1">IFERROR(__xludf.DUMMYFUNCTION("""COMPUTED_VALUE"""),"甲府東高")</f>
        <v>甲府東高</v>
      </c>
      <c r="C717" s="2" t="str">
        <f ca="1">IFERROR(__xludf.DUMMYFUNCTION("""COMPUTED_VALUE"""),"#N/A")</f>
        <v>#N/A</v>
      </c>
      <c r="D717" s="2">
        <f ca="1">IFERROR(__xludf.DUMMYFUNCTION("""COMPUTED_VALUE"""),0)</f>
        <v>0</v>
      </c>
      <c r="E717" s="29">
        <f ca="1">IFERROR(__xludf.DUMMYFUNCTION("""COMPUTED_VALUE"""),0)</f>
        <v>0</v>
      </c>
      <c r="F717" s="30">
        <f ca="1">IFERROR(__xludf.DUMMYFUNCTION("""COMPUTED_VALUE"""),0)</f>
        <v>0</v>
      </c>
      <c r="G717" s="29">
        <f ca="1">IFERROR(__xludf.DUMMYFUNCTION("""COMPUTED_VALUE"""),0)</f>
        <v>0</v>
      </c>
      <c r="H717" s="30">
        <f ca="1">IFERROR(__xludf.DUMMYFUNCTION("""COMPUTED_VALUE"""),0)</f>
        <v>0</v>
      </c>
      <c r="I717" s="29">
        <f ca="1">IFERROR(__xludf.DUMMYFUNCTION("""COMPUTED_VALUE"""),2000)</f>
        <v>2000</v>
      </c>
      <c r="J717" s="29">
        <f ca="1">IFERROR(__xludf.DUMMYFUNCTION("""COMPUTED_VALUE"""),1)</f>
        <v>1</v>
      </c>
      <c r="K717" s="29">
        <f ca="1">IFERROR(__xludf.DUMMYFUNCTION("""COMPUTED_VALUE"""),0)</f>
        <v>0</v>
      </c>
      <c r="L717" s="29">
        <f ca="1">IFERROR(__xludf.DUMMYFUNCTION("""COMPUTED_VALUE"""),0)</f>
        <v>0</v>
      </c>
      <c r="M717" s="29">
        <f ca="1">IFERROR(__xludf.DUMMYFUNCTION("""COMPUTED_VALUE"""),0)</f>
        <v>0</v>
      </c>
      <c r="N717" s="29">
        <f ca="1">IFERROR(__xludf.DUMMYFUNCTION("""COMPUTED_VALUE"""),0)</f>
        <v>0</v>
      </c>
    </row>
    <row r="718" spans="2:14" ht="12.5">
      <c r="B718" s="2" t="str">
        <f ca="1">IFERROR(__xludf.DUMMYFUNCTION("""COMPUTED_VALUE"""),"松山東高")</f>
        <v>松山東高</v>
      </c>
      <c r="C718" s="2" t="str">
        <f ca="1">IFERROR(__xludf.DUMMYFUNCTION("""COMPUTED_VALUE"""),"#N/A")</f>
        <v>#N/A</v>
      </c>
      <c r="D718" s="2">
        <f ca="1">IFERROR(__xludf.DUMMYFUNCTION("""COMPUTED_VALUE"""),0)</f>
        <v>0</v>
      </c>
      <c r="E718" s="29">
        <f ca="1">IFERROR(__xludf.DUMMYFUNCTION("""COMPUTED_VALUE"""),0)</f>
        <v>0</v>
      </c>
      <c r="F718" s="30">
        <f ca="1">IFERROR(__xludf.DUMMYFUNCTION("""COMPUTED_VALUE"""),0)</f>
        <v>0</v>
      </c>
      <c r="G718" s="29">
        <f ca="1">IFERROR(__xludf.DUMMYFUNCTION("""COMPUTED_VALUE"""),0)</f>
        <v>0</v>
      </c>
      <c r="H718" s="30">
        <f ca="1">IFERROR(__xludf.DUMMYFUNCTION("""COMPUTED_VALUE"""),0)</f>
        <v>0</v>
      </c>
      <c r="I718" s="29">
        <f ca="1">IFERROR(__xludf.DUMMYFUNCTION("""COMPUTED_VALUE"""),10000)</f>
        <v>10000</v>
      </c>
      <c r="J718" s="29">
        <f ca="1">IFERROR(__xludf.DUMMYFUNCTION("""COMPUTED_VALUE"""),5)</f>
        <v>5</v>
      </c>
      <c r="K718" s="29">
        <f ca="1">IFERROR(__xludf.DUMMYFUNCTION("""COMPUTED_VALUE"""),0)</f>
        <v>0</v>
      </c>
      <c r="L718" s="29">
        <f ca="1">IFERROR(__xludf.DUMMYFUNCTION("""COMPUTED_VALUE"""),0)</f>
        <v>0</v>
      </c>
      <c r="M718" s="29">
        <f ca="1">IFERROR(__xludf.DUMMYFUNCTION("""COMPUTED_VALUE"""),0)</f>
        <v>0</v>
      </c>
      <c r="N718" s="29">
        <f ca="1">IFERROR(__xludf.DUMMYFUNCTION("""COMPUTED_VALUE"""),0)</f>
        <v>0</v>
      </c>
    </row>
    <row r="719" spans="2:14" ht="12.5">
      <c r="B719" s="2" t="str">
        <f ca="1">IFERROR(__xludf.DUMMYFUNCTION("""COMPUTED_VALUE"""),"東京農大三高")</f>
        <v>東京農大三高</v>
      </c>
      <c r="C719" s="2" t="str">
        <f ca="1">IFERROR(__xludf.DUMMYFUNCTION("""COMPUTED_VALUE"""),"#N/A")</f>
        <v>#N/A</v>
      </c>
      <c r="D719" s="2">
        <f ca="1">IFERROR(__xludf.DUMMYFUNCTION("""COMPUTED_VALUE"""),0)</f>
        <v>0</v>
      </c>
      <c r="E719" s="29">
        <f ca="1">IFERROR(__xludf.DUMMYFUNCTION("""COMPUTED_VALUE"""),0)</f>
        <v>0</v>
      </c>
      <c r="F719" s="30">
        <f ca="1">IFERROR(__xludf.DUMMYFUNCTION("""COMPUTED_VALUE"""),0)</f>
        <v>0</v>
      </c>
      <c r="G719" s="29">
        <f ca="1">IFERROR(__xludf.DUMMYFUNCTION("""COMPUTED_VALUE"""),0)</f>
        <v>0</v>
      </c>
      <c r="H719" s="30">
        <f ca="1">IFERROR(__xludf.DUMMYFUNCTION("""COMPUTED_VALUE"""),0)</f>
        <v>0</v>
      </c>
      <c r="I719" s="29">
        <f ca="1">IFERROR(__xludf.DUMMYFUNCTION("""COMPUTED_VALUE"""),2000)</f>
        <v>2000</v>
      </c>
      <c r="J719" s="29">
        <f ca="1">IFERROR(__xludf.DUMMYFUNCTION("""COMPUTED_VALUE"""),1)</f>
        <v>1</v>
      </c>
      <c r="K719" s="29">
        <f ca="1">IFERROR(__xludf.DUMMYFUNCTION("""COMPUTED_VALUE"""),4000)</f>
        <v>4000</v>
      </c>
      <c r="L719" s="29">
        <f ca="1">IFERROR(__xludf.DUMMYFUNCTION("""COMPUTED_VALUE"""),2)</f>
        <v>2</v>
      </c>
      <c r="M719" s="29">
        <f ca="1">IFERROR(__xludf.DUMMYFUNCTION("""COMPUTED_VALUE"""),0)</f>
        <v>0</v>
      </c>
      <c r="N719" s="29">
        <f ca="1">IFERROR(__xludf.DUMMYFUNCTION("""COMPUTED_VALUE"""),0)</f>
        <v>0</v>
      </c>
    </row>
    <row r="720" spans="2:14" ht="12.5">
      <c r="B720" s="2" t="str">
        <f ca="1">IFERROR(__xludf.DUMMYFUNCTION("""COMPUTED_VALUE"""),"池田高")</f>
        <v>池田高</v>
      </c>
      <c r="C720" s="2" t="str">
        <f ca="1">IFERROR(__xludf.DUMMYFUNCTION("""COMPUTED_VALUE"""),"#N/A")</f>
        <v>#N/A</v>
      </c>
      <c r="D720" s="2">
        <f ca="1">IFERROR(__xludf.DUMMYFUNCTION("""COMPUTED_VALUE"""),0)</f>
        <v>0</v>
      </c>
      <c r="E720" s="29">
        <f ca="1">IFERROR(__xludf.DUMMYFUNCTION("""COMPUTED_VALUE"""),0)</f>
        <v>0</v>
      </c>
      <c r="F720" s="30">
        <f ca="1">IFERROR(__xludf.DUMMYFUNCTION("""COMPUTED_VALUE"""),0)</f>
        <v>0</v>
      </c>
      <c r="G720" s="29">
        <f ca="1">IFERROR(__xludf.DUMMYFUNCTION("""COMPUTED_VALUE"""),0)</f>
        <v>0</v>
      </c>
      <c r="H720" s="30">
        <f ca="1">IFERROR(__xludf.DUMMYFUNCTION("""COMPUTED_VALUE"""),0)</f>
        <v>0</v>
      </c>
      <c r="I720" s="29">
        <f ca="1">IFERROR(__xludf.DUMMYFUNCTION("""COMPUTED_VALUE"""),4000)</f>
        <v>4000</v>
      </c>
      <c r="J720" s="29">
        <f ca="1">IFERROR(__xludf.DUMMYFUNCTION("""COMPUTED_VALUE"""),2)</f>
        <v>2</v>
      </c>
      <c r="K720" s="29">
        <f ca="1">IFERROR(__xludf.DUMMYFUNCTION("""COMPUTED_VALUE"""),6000)</f>
        <v>6000</v>
      </c>
      <c r="L720" s="29">
        <f ca="1">IFERROR(__xludf.DUMMYFUNCTION("""COMPUTED_VALUE"""),3)</f>
        <v>3</v>
      </c>
      <c r="M720" s="29">
        <f ca="1">IFERROR(__xludf.DUMMYFUNCTION("""COMPUTED_VALUE"""),0)</f>
        <v>0</v>
      </c>
      <c r="N720" s="29">
        <f ca="1">IFERROR(__xludf.DUMMYFUNCTION("""COMPUTED_VALUE"""),0)</f>
        <v>0</v>
      </c>
    </row>
    <row r="721" spans="2:14" ht="12.5">
      <c r="B721" s="2" t="str">
        <f ca="1">IFERROR(__xludf.DUMMYFUNCTION("""COMPUTED_VALUE"""),"北須磨高")</f>
        <v>北須磨高</v>
      </c>
      <c r="C721" s="2" t="str">
        <f ca="1">IFERROR(__xludf.DUMMYFUNCTION("""COMPUTED_VALUE"""),"#N/A")</f>
        <v>#N/A</v>
      </c>
      <c r="D721" s="2">
        <f ca="1">IFERROR(__xludf.DUMMYFUNCTION("""COMPUTED_VALUE"""),0)</f>
        <v>0</v>
      </c>
      <c r="E721" s="29">
        <f ca="1">IFERROR(__xludf.DUMMYFUNCTION("""COMPUTED_VALUE"""),0)</f>
        <v>0</v>
      </c>
      <c r="F721" s="30">
        <f ca="1">IFERROR(__xludf.DUMMYFUNCTION("""COMPUTED_VALUE"""),0)</f>
        <v>0</v>
      </c>
      <c r="G721" s="29">
        <f ca="1">IFERROR(__xludf.DUMMYFUNCTION("""COMPUTED_VALUE"""),0)</f>
        <v>0</v>
      </c>
      <c r="H721" s="30">
        <f ca="1">IFERROR(__xludf.DUMMYFUNCTION("""COMPUTED_VALUE"""),0)</f>
        <v>0</v>
      </c>
      <c r="I721" s="29">
        <f ca="1">IFERROR(__xludf.DUMMYFUNCTION("""COMPUTED_VALUE"""),2000)</f>
        <v>2000</v>
      </c>
      <c r="J721" s="29">
        <f ca="1">IFERROR(__xludf.DUMMYFUNCTION("""COMPUTED_VALUE"""),1)</f>
        <v>1</v>
      </c>
      <c r="K721" s="29">
        <f ca="1">IFERROR(__xludf.DUMMYFUNCTION("""COMPUTED_VALUE"""),0)</f>
        <v>0</v>
      </c>
      <c r="L721" s="29">
        <f ca="1">IFERROR(__xludf.DUMMYFUNCTION("""COMPUTED_VALUE"""),0)</f>
        <v>0</v>
      </c>
      <c r="M721" s="29">
        <f ca="1">IFERROR(__xludf.DUMMYFUNCTION("""COMPUTED_VALUE"""),0)</f>
        <v>0</v>
      </c>
      <c r="N721" s="29">
        <f ca="1">IFERROR(__xludf.DUMMYFUNCTION("""COMPUTED_VALUE"""),0)</f>
        <v>0</v>
      </c>
    </row>
    <row r="722" spans="2:14" ht="12.5">
      <c r="B722" s="2" t="str">
        <f ca="1">IFERROR(__xludf.DUMMYFUNCTION("""COMPUTED_VALUE"""),"唐津東高")</f>
        <v>唐津東高</v>
      </c>
      <c r="C722" s="2" t="str">
        <f ca="1">IFERROR(__xludf.DUMMYFUNCTION("""COMPUTED_VALUE"""),"#N/A")</f>
        <v>#N/A</v>
      </c>
      <c r="D722" s="2">
        <f ca="1">IFERROR(__xludf.DUMMYFUNCTION("""COMPUTED_VALUE"""),0)</f>
        <v>0</v>
      </c>
      <c r="E722" s="29">
        <f ca="1">IFERROR(__xludf.DUMMYFUNCTION("""COMPUTED_VALUE"""),0)</f>
        <v>0</v>
      </c>
      <c r="F722" s="30">
        <f ca="1">IFERROR(__xludf.DUMMYFUNCTION("""COMPUTED_VALUE"""),0)</f>
        <v>0</v>
      </c>
      <c r="G722" s="29">
        <f ca="1">IFERROR(__xludf.DUMMYFUNCTION("""COMPUTED_VALUE"""),0)</f>
        <v>0</v>
      </c>
      <c r="H722" s="30">
        <f ca="1">IFERROR(__xludf.DUMMYFUNCTION("""COMPUTED_VALUE"""),0)</f>
        <v>0</v>
      </c>
      <c r="I722" s="29">
        <f ca="1">IFERROR(__xludf.DUMMYFUNCTION("""COMPUTED_VALUE"""),2000)</f>
        <v>2000</v>
      </c>
      <c r="J722" s="29">
        <f ca="1">IFERROR(__xludf.DUMMYFUNCTION("""COMPUTED_VALUE"""),1)</f>
        <v>1</v>
      </c>
      <c r="K722" s="29">
        <f ca="1">IFERROR(__xludf.DUMMYFUNCTION("""COMPUTED_VALUE"""),0)</f>
        <v>0</v>
      </c>
      <c r="L722" s="29">
        <f ca="1">IFERROR(__xludf.DUMMYFUNCTION("""COMPUTED_VALUE"""),0)</f>
        <v>0</v>
      </c>
      <c r="M722" s="29">
        <f ca="1">IFERROR(__xludf.DUMMYFUNCTION("""COMPUTED_VALUE"""),0)</f>
        <v>0</v>
      </c>
      <c r="N722" s="29">
        <f ca="1">IFERROR(__xludf.DUMMYFUNCTION("""COMPUTED_VALUE"""),0)</f>
        <v>0</v>
      </c>
    </row>
    <row r="723" spans="2:14" ht="12.5">
      <c r="B723" s="2" t="str">
        <f ca="1">IFERROR(__xludf.DUMMYFUNCTION("""COMPUTED_VALUE"""),"北海学園札幌高")</f>
        <v>北海学園札幌高</v>
      </c>
      <c r="C723" s="2" t="str">
        <f ca="1">IFERROR(__xludf.DUMMYFUNCTION("""COMPUTED_VALUE"""),"#N/A")</f>
        <v>#N/A</v>
      </c>
      <c r="D723" s="2">
        <f ca="1">IFERROR(__xludf.DUMMYFUNCTION("""COMPUTED_VALUE"""),0)</f>
        <v>0</v>
      </c>
      <c r="E723" s="29">
        <f ca="1">IFERROR(__xludf.DUMMYFUNCTION("""COMPUTED_VALUE"""),0)</f>
        <v>0</v>
      </c>
      <c r="F723" s="30">
        <f ca="1">IFERROR(__xludf.DUMMYFUNCTION("""COMPUTED_VALUE"""),0)</f>
        <v>0</v>
      </c>
      <c r="G723" s="29">
        <f ca="1">IFERROR(__xludf.DUMMYFUNCTION("""COMPUTED_VALUE"""),0)</f>
        <v>0</v>
      </c>
      <c r="H723" s="30">
        <f ca="1">IFERROR(__xludf.DUMMYFUNCTION("""COMPUTED_VALUE"""),0)</f>
        <v>0</v>
      </c>
      <c r="I723" s="29">
        <f ca="1">IFERROR(__xludf.DUMMYFUNCTION("""COMPUTED_VALUE"""),4000)</f>
        <v>4000</v>
      </c>
      <c r="J723" s="29">
        <f ca="1">IFERROR(__xludf.DUMMYFUNCTION("""COMPUTED_VALUE"""),2)</f>
        <v>2</v>
      </c>
      <c r="K723" s="29">
        <f ca="1">IFERROR(__xludf.DUMMYFUNCTION("""COMPUTED_VALUE"""),16000)</f>
        <v>16000</v>
      </c>
      <c r="L723" s="29">
        <f ca="1">IFERROR(__xludf.DUMMYFUNCTION("""COMPUTED_VALUE"""),8)</f>
        <v>8</v>
      </c>
      <c r="M723" s="29">
        <f ca="1">IFERROR(__xludf.DUMMYFUNCTION("""COMPUTED_VALUE"""),0)</f>
        <v>0</v>
      </c>
      <c r="N723" s="29">
        <f ca="1">IFERROR(__xludf.DUMMYFUNCTION("""COMPUTED_VALUE"""),0)</f>
        <v>0</v>
      </c>
    </row>
    <row r="724" spans="2:14" ht="12.5">
      <c r="B724" s="2" t="str">
        <f ca="1">IFERROR(__xludf.DUMMYFUNCTION("""COMPUTED_VALUE"""),"秋田北鷹高")</f>
        <v>秋田北鷹高</v>
      </c>
      <c r="C724" s="2" t="str">
        <f ca="1">IFERROR(__xludf.DUMMYFUNCTION("""COMPUTED_VALUE"""),"#N/A")</f>
        <v>#N/A</v>
      </c>
      <c r="D724" s="2">
        <f ca="1">IFERROR(__xludf.DUMMYFUNCTION("""COMPUTED_VALUE"""),0)</f>
        <v>0</v>
      </c>
      <c r="E724" s="29">
        <f ca="1">IFERROR(__xludf.DUMMYFUNCTION("""COMPUTED_VALUE"""),0)</f>
        <v>0</v>
      </c>
      <c r="F724" s="30">
        <f ca="1">IFERROR(__xludf.DUMMYFUNCTION("""COMPUTED_VALUE"""),0)</f>
        <v>0</v>
      </c>
      <c r="G724" s="29">
        <f ca="1">IFERROR(__xludf.DUMMYFUNCTION("""COMPUTED_VALUE"""),0)</f>
        <v>0</v>
      </c>
      <c r="H724" s="30">
        <f ca="1">IFERROR(__xludf.DUMMYFUNCTION("""COMPUTED_VALUE"""),0)</f>
        <v>0</v>
      </c>
      <c r="I724" s="29">
        <f ca="1">IFERROR(__xludf.DUMMYFUNCTION("""COMPUTED_VALUE"""),2000)</f>
        <v>2000</v>
      </c>
      <c r="J724" s="29">
        <f ca="1">IFERROR(__xludf.DUMMYFUNCTION("""COMPUTED_VALUE"""),1)</f>
        <v>1</v>
      </c>
      <c r="K724" s="29">
        <f ca="1">IFERROR(__xludf.DUMMYFUNCTION("""COMPUTED_VALUE"""),2000)</f>
        <v>2000</v>
      </c>
      <c r="L724" s="29">
        <f ca="1">IFERROR(__xludf.DUMMYFUNCTION("""COMPUTED_VALUE"""),1)</f>
        <v>1</v>
      </c>
      <c r="M724" s="29">
        <f ca="1">IFERROR(__xludf.DUMMYFUNCTION("""COMPUTED_VALUE"""),0)</f>
        <v>0</v>
      </c>
      <c r="N724" s="29">
        <f ca="1">IFERROR(__xludf.DUMMYFUNCTION("""COMPUTED_VALUE"""),0)</f>
        <v>0</v>
      </c>
    </row>
    <row r="725" spans="2:14" ht="12.5">
      <c r="B725" s="2" t="str">
        <f ca="1">IFERROR(__xludf.DUMMYFUNCTION("""COMPUTED_VALUE"""),"和光国際高")</f>
        <v>和光国際高</v>
      </c>
      <c r="C725" s="2" t="str">
        <f ca="1">IFERROR(__xludf.DUMMYFUNCTION("""COMPUTED_VALUE"""),"#N/A")</f>
        <v>#N/A</v>
      </c>
      <c r="D725" s="2">
        <f ca="1">IFERROR(__xludf.DUMMYFUNCTION("""COMPUTED_VALUE"""),0)</f>
        <v>0</v>
      </c>
      <c r="E725" s="29">
        <f ca="1">IFERROR(__xludf.DUMMYFUNCTION("""COMPUTED_VALUE"""),0)</f>
        <v>0</v>
      </c>
      <c r="F725" s="30">
        <f ca="1">IFERROR(__xludf.DUMMYFUNCTION("""COMPUTED_VALUE"""),0)</f>
        <v>0</v>
      </c>
      <c r="G725" s="29">
        <f ca="1">IFERROR(__xludf.DUMMYFUNCTION("""COMPUTED_VALUE"""),0)</f>
        <v>0</v>
      </c>
      <c r="H725" s="30">
        <f ca="1">IFERROR(__xludf.DUMMYFUNCTION("""COMPUTED_VALUE"""),0)</f>
        <v>0</v>
      </c>
      <c r="I725" s="29">
        <f ca="1">IFERROR(__xludf.DUMMYFUNCTION("""COMPUTED_VALUE"""),6000)</f>
        <v>6000</v>
      </c>
      <c r="J725" s="29">
        <f ca="1">IFERROR(__xludf.DUMMYFUNCTION("""COMPUTED_VALUE"""),3)</f>
        <v>3</v>
      </c>
      <c r="K725" s="29">
        <f ca="1">IFERROR(__xludf.DUMMYFUNCTION("""COMPUTED_VALUE"""),4000)</f>
        <v>4000</v>
      </c>
      <c r="L725" s="29">
        <f ca="1">IFERROR(__xludf.DUMMYFUNCTION("""COMPUTED_VALUE"""),2)</f>
        <v>2</v>
      </c>
      <c r="M725" s="29">
        <f ca="1">IFERROR(__xludf.DUMMYFUNCTION("""COMPUTED_VALUE"""),0)</f>
        <v>0</v>
      </c>
      <c r="N725" s="29">
        <f ca="1">IFERROR(__xludf.DUMMYFUNCTION("""COMPUTED_VALUE"""),0)</f>
        <v>0</v>
      </c>
    </row>
    <row r="726" spans="2:14" ht="12.5">
      <c r="B726" s="2" t="str">
        <f ca="1">IFERROR(__xludf.DUMMYFUNCTION("""COMPUTED_VALUE"""),"フェリス女学院高")</f>
        <v>フェリス女学院高</v>
      </c>
      <c r="C726" s="2" t="str">
        <f ca="1">IFERROR(__xludf.DUMMYFUNCTION("""COMPUTED_VALUE"""),"#N/A")</f>
        <v>#N/A</v>
      </c>
      <c r="D726" s="2">
        <f ca="1">IFERROR(__xludf.DUMMYFUNCTION("""COMPUTED_VALUE"""),0)</f>
        <v>0</v>
      </c>
      <c r="E726" s="29">
        <f ca="1">IFERROR(__xludf.DUMMYFUNCTION("""COMPUTED_VALUE"""),0)</f>
        <v>0</v>
      </c>
      <c r="F726" s="30">
        <f ca="1">IFERROR(__xludf.DUMMYFUNCTION("""COMPUTED_VALUE"""),0)</f>
        <v>0</v>
      </c>
      <c r="G726" s="29">
        <f ca="1">IFERROR(__xludf.DUMMYFUNCTION("""COMPUTED_VALUE"""),0)</f>
        <v>0</v>
      </c>
      <c r="H726" s="30">
        <f ca="1">IFERROR(__xludf.DUMMYFUNCTION("""COMPUTED_VALUE"""),0)</f>
        <v>0</v>
      </c>
      <c r="I726" s="29">
        <f ca="1">IFERROR(__xludf.DUMMYFUNCTION("""COMPUTED_VALUE"""),6000)</f>
        <v>6000</v>
      </c>
      <c r="J726" s="29">
        <f ca="1">IFERROR(__xludf.DUMMYFUNCTION("""COMPUTED_VALUE"""),3)</f>
        <v>3</v>
      </c>
      <c r="K726" s="29">
        <f ca="1">IFERROR(__xludf.DUMMYFUNCTION("""COMPUTED_VALUE"""),0)</f>
        <v>0</v>
      </c>
      <c r="L726" s="29">
        <f ca="1">IFERROR(__xludf.DUMMYFUNCTION("""COMPUTED_VALUE"""),0)</f>
        <v>0</v>
      </c>
      <c r="M726" s="29">
        <f ca="1">IFERROR(__xludf.DUMMYFUNCTION("""COMPUTED_VALUE"""),0)</f>
        <v>0</v>
      </c>
      <c r="N726" s="29">
        <f ca="1">IFERROR(__xludf.DUMMYFUNCTION("""COMPUTED_VALUE"""),0)</f>
        <v>0</v>
      </c>
    </row>
    <row r="727" spans="2:14" ht="12.5">
      <c r="B727" s="2" t="str">
        <f ca="1">IFERROR(__xludf.DUMMYFUNCTION("""COMPUTED_VALUE"""),"秦野高")</f>
        <v>秦野高</v>
      </c>
      <c r="C727" s="2" t="str">
        <f ca="1">IFERROR(__xludf.DUMMYFUNCTION("""COMPUTED_VALUE"""),"#N/A")</f>
        <v>#N/A</v>
      </c>
      <c r="D727" s="2">
        <f ca="1">IFERROR(__xludf.DUMMYFUNCTION("""COMPUTED_VALUE"""),0)</f>
        <v>0</v>
      </c>
      <c r="E727" s="29">
        <f ca="1">IFERROR(__xludf.DUMMYFUNCTION("""COMPUTED_VALUE"""),0)</f>
        <v>0</v>
      </c>
      <c r="F727" s="30">
        <f ca="1">IFERROR(__xludf.DUMMYFUNCTION("""COMPUTED_VALUE"""),0)</f>
        <v>0</v>
      </c>
      <c r="G727" s="29">
        <f ca="1">IFERROR(__xludf.DUMMYFUNCTION("""COMPUTED_VALUE"""),0)</f>
        <v>0</v>
      </c>
      <c r="H727" s="30">
        <f ca="1">IFERROR(__xludf.DUMMYFUNCTION("""COMPUTED_VALUE"""),0)</f>
        <v>0</v>
      </c>
      <c r="I727" s="29">
        <f ca="1">IFERROR(__xludf.DUMMYFUNCTION("""COMPUTED_VALUE"""),4000)</f>
        <v>4000</v>
      </c>
      <c r="J727" s="29">
        <f ca="1">IFERROR(__xludf.DUMMYFUNCTION("""COMPUTED_VALUE"""),2)</f>
        <v>2</v>
      </c>
      <c r="K727" s="29">
        <f ca="1">IFERROR(__xludf.DUMMYFUNCTION("""COMPUTED_VALUE"""),0)</f>
        <v>0</v>
      </c>
      <c r="L727" s="29">
        <f ca="1">IFERROR(__xludf.DUMMYFUNCTION("""COMPUTED_VALUE"""),0)</f>
        <v>0</v>
      </c>
      <c r="M727" s="29">
        <f ca="1">IFERROR(__xludf.DUMMYFUNCTION("""COMPUTED_VALUE"""),0)</f>
        <v>0</v>
      </c>
      <c r="N727" s="29">
        <f ca="1">IFERROR(__xludf.DUMMYFUNCTION("""COMPUTED_VALUE"""),0)</f>
        <v>0</v>
      </c>
    </row>
    <row r="728" spans="2:14" ht="12.5">
      <c r="B728" s="2" t="str">
        <f ca="1">IFERROR(__xludf.DUMMYFUNCTION("""COMPUTED_VALUE"""),"三条高")</f>
        <v>三条高</v>
      </c>
      <c r="C728" s="2" t="str">
        <f ca="1">IFERROR(__xludf.DUMMYFUNCTION("""COMPUTED_VALUE"""),"#N/A")</f>
        <v>#N/A</v>
      </c>
      <c r="D728" s="2">
        <f ca="1">IFERROR(__xludf.DUMMYFUNCTION("""COMPUTED_VALUE"""),0)</f>
        <v>0</v>
      </c>
      <c r="E728" s="29">
        <f ca="1">IFERROR(__xludf.DUMMYFUNCTION("""COMPUTED_VALUE"""),0)</f>
        <v>0</v>
      </c>
      <c r="F728" s="30">
        <f ca="1">IFERROR(__xludf.DUMMYFUNCTION("""COMPUTED_VALUE"""),0)</f>
        <v>0</v>
      </c>
      <c r="G728" s="29">
        <f ca="1">IFERROR(__xludf.DUMMYFUNCTION("""COMPUTED_VALUE"""),0)</f>
        <v>0</v>
      </c>
      <c r="H728" s="30">
        <f ca="1">IFERROR(__xludf.DUMMYFUNCTION("""COMPUTED_VALUE"""),0)</f>
        <v>0</v>
      </c>
      <c r="I728" s="29">
        <f ca="1">IFERROR(__xludf.DUMMYFUNCTION("""COMPUTED_VALUE"""),6000)</f>
        <v>6000</v>
      </c>
      <c r="J728" s="29">
        <f ca="1">IFERROR(__xludf.DUMMYFUNCTION("""COMPUTED_VALUE"""),3)</f>
        <v>3</v>
      </c>
      <c r="K728" s="29">
        <f ca="1">IFERROR(__xludf.DUMMYFUNCTION("""COMPUTED_VALUE"""),0)</f>
        <v>0</v>
      </c>
      <c r="L728" s="29">
        <f ca="1">IFERROR(__xludf.DUMMYFUNCTION("""COMPUTED_VALUE"""),0)</f>
        <v>0</v>
      </c>
      <c r="M728" s="29">
        <f ca="1">IFERROR(__xludf.DUMMYFUNCTION("""COMPUTED_VALUE"""),0)</f>
        <v>0</v>
      </c>
      <c r="N728" s="29">
        <f ca="1">IFERROR(__xludf.DUMMYFUNCTION("""COMPUTED_VALUE"""),0)</f>
        <v>0</v>
      </c>
    </row>
    <row r="729" spans="2:14" ht="12.5">
      <c r="B729" s="2" t="str">
        <f ca="1">IFERROR(__xludf.DUMMYFUNCTION("""COMPUTED_VALUE"""),"小松高")</f>
        <v>小松高</v>
      </c>
      <c r="C729" s="2" t="str">
        <f ca="1">IFERROR(__xludf.DUMMYFUNCTION("""COMPUTED_VALUE"""),"#N/A")</f>
        <v>#N/A</v>
      </c>
      <c r="D729" s="2">
        <f ca="1">IFERROR(__xludf.DUMMYFUNCTION("""COMPUTED_VALUE"""),0)</f>
        <v>0</v>
      </c>
      <c r="E729" s="29">
        <f ca="1">IFERROR(__xludf.DUMMYFUNCTION("""COMPUTED_VALUE"""),0)</f>
        <v>0</v>
      </c>
      <c r="F729" s="30">
        <f ca="1">IFERROR(__xludf.DUMMYFUNCTION("""COMPUTED_VALUE"""),0)</f>
        <v>0</v>
      </c>
      <c r="G729" s="29">
        <f ca="1">IFERROR(__xludf.DUMMYFUNCTION("""COMPUTED_VALUE"""),0)</f>
        <v>0</v>
      </c>
      <c r="H729" s="30">
        <f ca="1">IFERROR(__xludf.DUMMYFUNCTION("""COMPUTED_VALUE"""),0)</f>
        <v>0</v>
      </c>
      <c r="I729" s="29">
        <f ca="1">IFERROR(__xludf.DUMMYFUNCTION("""COMPUTED_VALUE"""),4000)</f>
        <v>4000</v>
      </c>
      <c r="J729" s="29">
        <f ca="1">IFERROR(__xludf.DUMMYFUNCTION("""COMPUTED_VALUE"""),2)</f>
        <v>2</v>
      </c>
      <c r="K729" s="29">
        <f ca="1">IFERROR(__xludf.DUMMYFUNCTION("""COMPUTED_VALUE"""),18000)</f>
        <v>18000</v>
      </c>
      <c r="L729" s="29">
        <f ca="1">IFERROR(__xludf.DUMMYFUNCTION("""COMPUTED_VALUE"""),9)</f>
        <v>9</v>
      </c>
      <c r="M729" s="29">
        <f ca="1">IFERROR(__xludf.DUMMYFUNCTION("""COMPUTED_VALUE"""),0)</f>
        <v>0</v>
      </c>
      <c r="N729" s="29">
        <f ca="1">IFERROR(__xludf.DUMMYFUNCTION("""COMPUTED_VALUE"""),0)</f>
        <v>0</v>
      </c>
    </row>
    <row r="730" spans="2:14" ht="12.5">
      <c r="B730" s="2" t="str">
        <f ca="1">IFERROR(__xludf.DUMMYFUNCTION("""COMPUTED_VALUE"""),"愛知工大名電高")</f>
        <v>愛知工大名電高</v>
      </c>
      <c r="C730" s="2" t="str">
        <f ca="1">IFERROR(__xludf.DUMMYFUNCTION("""COMPUTED_VALUE"""),"#N/A")</f>
        <v>#N/A</v>
      </c>
      <c r="D730" s="2">
        <f ca="1">IFERROR(__xludf.DUMMYFUNCTION("""COMPUTED_VALUE"""),0)</f>
        <v>0</v>
      </c>
      <c r="E730" s="29">
        <f ca="1">IFERROR(__xludf.DUMMYFUNCTION("""COMPUTED_VALUE"""),0)</f>
        <v>0</v>
      </c>
      <c r="F730" s="30">
        <f ca="1">IFERROR(__xludf.DUMMYFUNCTION("""COMPUTED_VALUE"""),0)</f>
        <v>0</v>
      </c>
      <c r="G730" s="29">
        <f ca="1">IFERROR(__xludf.DUMMYFUNCTION("""COMPUTED_VALUE"""),0)</f>
        <v>0</v>
      </c>
      <c r="H730" s="30">
        <f ca="1">IFERROR(__xludf.DUMMYFUNCTION("""COMPUTED_VALUE"""),0)</f>
        <v>0</v>
      </c>
      <c r="I730" s="29">
        <f ca="1">IFERROR(__xludf.DUMMYFUNCTION("""COMPUTED_VALUE"""),14000)</f>
        <v>14000</v>
      </c>
      <c r="J730" s="29">
        <f ca="1">IFERROR(__xludf.DUMMYFUNCTION("""COMPUTED_VALUE"""),7)</f>
        <v>7</v>
      </c>
      <c r="K730" s="29">
        <f ca="1">IFERROR(__xludf.DUMMYFUNCTION("""COMPUTED_VALUE"""),4000)</f>
        <v>4000</v>
      </c>
      <c r="L730" s="29">
        <f ca="1">IFERROR(__xludf.DUMMYFUNCTION("""COMPUTED_VALUE"""),2)</f>
        <v>2</v>
      </c>
      <c r="M730" s="29">
        <f ca="1">IFERROR(__xludf.DUMMYFUNCTION("""COMPUTED_VALUE"""),0)</f>
        <v>0</v>
      </c>
      <c r="N730" s="29">
        <f ca="1">IFERROR(__xludf.DUMMYFUNCTION("""COMPUTED_VALUE"""),0)</f>
        <v>0</v>
      </c>
    </row>
    <row r="731" spans="2:14" ht="12.5">
      <c r="B731" s="2" t="str">
        <f ca="1">IFERROR(__xludf.DUMMYFUNCTION("""COMPUTED_VALUE"""),"桑名高")</f>
        <v>桑名高</v>
      </c>
      <c r="C731" s="2" t="str">
        <f ca="1">IFERROR(__xludf.DUMMYFUNCTION("""COMPUTED_VALUE"""),"#N/A")</f>
        <v>#N/A</v>
      </c>
      <c r="D731" s="2">
        <f ca="1">IFERROR(__xludf.DUMMYFUNCTION("""COMPUTED_VALUE"""),0)</f>
        <v>0</v>
      </c>
      <c r="E731" s="29">
        <f ca="1">IFERROR(__xludf.DUMMYFUNCTION("""COMPUTED_VALUE"""),0)</f>
        <v>0</v>
      </c>
      <c r="F731" s="30">
        <f ca="1">IFERROR(__xludf.DUMMYFUNCTION("""COMPUTED_VALUE"""),0)</f>
        <v>0</v>
      </c>
      <c r="G731" s="29">
        <f ca="1">IFERROR(__xludf.DUMMYFUNCTION("""COMPUTED_VALUE"""),0)</f>
        <v>0</v>
      </c>
      <c r="H731" s="30">
        <f ca="1">IFERROR(__xludf.DUMMYFUNCTION("""COMPUTED_VALUE"""),0)</f>
        <v>0</v>
      </c>
      <c r="I731" s="29">
        <f ca="1">IFERROR(__xludf.DUMMYFUNCTION("""COMPUTED_VALUE"""),10000)</f>
        <v>10000</v>
      </c>
      <c r="J731" s="29">
        <f ca="1">IFERROR(__xludf.DUMMYFUNCTION("""COMPUTED_VALUE"""),5)</f>
        <v>5</v>
      </c>
      <c r="K731" s="29">
        <f ca="1">IFERROR(__xludf.DUMMYFUNCTION("""COMPUTED_VALUE"""),0)</f>
        <v>0</v>
      </c>
      <c r="L731" s="29">
        <f ca="1">IFERROR(__xludf.DUMMYFUNCTION("""COMPUTED_VALUE"""),0)</f>
        <v>0</v>
      </c>
      <c r="M731" s="29">
        <f ca="1">IFERROR(__xludf.DUMMYFUNCTION("""COMPUTED_VALUE"""),0)</f>
        <v>0</v>
      </c>
      <c r="N731" s="29">
        <f ca="1">IFERROR(__xludf.DUMMYFUNCTION("""COMPUTED_VALUE"""),0)</f>
        <v>0</v>
      </c>
    </row>
    <row r="732" spans="2:14" ht="12.5">
      <c r="B732" s="2" t="str">
        <f ca="1">IFERROR(__xludf.DUMMYFUNCTION("""COMPUTED_VALUE"""),"金蘭千里高")</f>
        <v>金蘭千里高</v>
      </c>
      <c r="C732" s="2" t="str">
        <f ca="1">IFERROR(__xludf.DUMMYFUNCTION("""COMPUTED_VALUE"""),"#N/A")</f>
        <v>#N/A</v>
      </c>
      <c r="D732" s="2">
        <f ca="1">IFERROR(__xludf.DUMMYFUNCTION("""COMPUTED_VALUE"""),0)</f>
        <v>0</v>
      </c>
      <c r="E732" s="29">
        <f ca="1">IFERROR(__xludf.DUMMYFUNCTION("""COMPUTED_VALUE"""),0)</f>
        <v>0</v>
      </c>
      <c r="F732" s="30">
        <f ca="1">IFERROR(__xludf.DUMMYFUNCTION("""COMPUTED_VALUE"""),0)</f>
        <v>0</v>
      </c>
      <c r="G732" s="29">
        <f ca="1">IFERROR(__xludf.DUMMYFUNCTION("""COMPUTED_VALUE"""),0)</f>
        <v>0</v>
      </c>
      <c r="H732" s="30">
        <f ca="1">IFERROR(__xludf.DUMMYFUNCTION("""COMPUTED_VALUE"""),0)</f>
        <v>0</v>
      </c>
      <c r="I732" s="29">
        <f ca="1">IFERROR(__xludf.DUMMYFUNCTION("""COMPUTED_VALUE"""),2000)</f>
        <v>2000</v>
      </c>
      <c r="J732" s="29">
        <f ca="1">IFERROR(__xludf.DUMMYFUNCTION("""COMPUTED_VALUE"""),1)</f>
        <v>1</v>
      </c>
      <c r="K732" s="29">
        <f ca="1">IFERROR(__xludf.DUMMYFUNCTION("""COMPUTED_VALUE"""),2000)</f>
        <v>2000</v>
      </c>
      <c r="L732" s="29">
        <f ca="1">IFERROR(__xludf.DUMMYFUNCTION("""COMPUTED_VALUE"""),1)</f>
        <v>1</v>
      </c>
      <c r="M732" s="29">
        <f ca="1">IFERROR(__xludf.DUMMYFUNCTION("""COMPUTED_VALUE"""),0)</f>
        <v>0</v>
      </c>
      <c r="N732" s="29">
        <f ca="1">IFERROR(__xludf.DUMMYFUNCTION("""COMPUTED_VALUE"""),0)</f>
        <v>0</v>
      </c>
    </row>
    <row r="733" spans="2:14" ht="12.5">
      <c r="B733" s="2" t="str">
        <f ca="1">IFERROR(__xludf.DUMMYFUNCTION("""COMPUTED_VALUE"""),"小野田高")</f>
        <v>小野田高</v>
      </c>
      <c r="C733" s="2" t="str">
        <f ca="1">IFERROR(__xludf.DUMMYFUNCTION("""COMPUTED_VALUE"""),"#N/A")</f>
        <v>#N/A</v>
      </c>
      <c r="D733" s="2">
        <f ca="1">IFERROR(__xludf.DUMMYFUNCTION("""COMPUTED_VALUE"""),0)</f>
        <v>0</v>
      </c>
      <c r="E733" s="29">
        <f ca="1">IFERROR(__xludf.DUMMYFUNCTION("""COMPUTED_VALUE"""),0)</f>
        <v>0</v>
      </c>
      <c r="F733" s="30">
        <f ca="1">IFERROR(__xludf.DUMMYFUNCTION("""COMPUTED_VALUE"""),0)</f>
        <v>0</v>
      </c>
      <c r="G733" s="29">
        <f ca="1">IFERROR(__xludf.DUMMYFUNCTION("""COMPUTED_VALUE"""),0)</f>
        <v>0</v>
      </c>
      <c r="H733" s="30">
        <f ca="1">IFERROR(__xludf.DUMMYFUNCTION("""COMPUTED_VALUE"""),0)</f>
        <v>0</v>
      </c>
      <c r="I733" s="29">
        <f ca="1">IFERROR(__xludf.DUMMYFUNCTION("""COMPUTED_VALUE"""),6000)</f>
        <v>6000</v>
      </c>
      <c r="J733" s="29">
        <f ca="1">IFERROR(__xludf.DUMMYFUNCTION("""COMPUTED_VALUE"""),3)</f>
        <v>3</v>
      </c>
      <c r="K733" s="29">
        <f ca="1">IFERROR(__xludf.DUMMYFUNCTION("""COMPUTED_VALUE"""),12000)</f>
        <v>12000</v>
      </c>
      <c r="L733" s="29">
        <f ca="1">IFERROR(__xludf.DUMMYFUNCTION("""COMPUTED_VALUE"""),6)</f>
        <v>6</v>
      </c>
      <c r="M733" s="29">
        <f ca="1">IFERROR(__xludf.DUMMYFUNCTION("""COMPUTED_VALUE"""),0)</f>
        <v>0</v>
      </c>
      <c r="N733" s="29">
        <f ca="1">IFERROR(__xludf.DUMMYFUNCTION("""COMPUTED_VALUE"""),0)</f>
        <v>0</v>
      </c>
    </row>
    <row r="734" spans="2:14" ht="12.5">
      <c r="B734" s="2" t="str">
        <f ca="1">IFERROR(__xludf.DUMMYFUNCTION("""COMPUTED_VALUE"""),"神奈川総合高")</f>
        <v>神奈川総合高</v>
      </c>
      <c r="C734" s="2" t="str">
        <f ca="1">IFERROR(__xludf.DUMMYFUNCTION("""COMPUTED_VALUE"""),"#N/A")</f>
        <v>#N/A</v>
      </c>
      <c r="D734" s="2">
        <f ca="1">IFERROR(__xludf.DUMMYFUNCTION("""COMPUTED_VALUE"""),0)</f>
        <v>0</v>
      </c>
      <c r="E734" s="29">
        <f ca="1">IFERROR(__xludf.DUMMYFUNCTION("""COMPUTED_VALUE"""),0)</f>
        <v>0</v>
      </c>
      <c r="F734" s="30">
        <f ca="1">IFERROR(__xludf.DUMMYFUNCTION("""COMPUTED_VALUE"""),0)</f>
        <v>0</v>
      </c>
      <c r="G734" s="29">
        <f ca="1">IFERROR(__xludf.DUMMYFUNCTION("""COMPUTED_VALUE"""),0)</f>
        <v>0</v>
      </c>
      <c r="H734" s="30">
        <f ca="1">IFERROR(__xludf.DUMMYFUNCTION("""COMPUTED_VALUE"""),0)</f>
        <v>0</v>
      </c>
      <c r="I734" s="29">
        <f ca="1">IFERROR(__xludf.DUMMYFUNCTION("""COMPUTED_VALUE"""),4000)</f>
        <v>4000</v>
      </c>
      <c r="J734" s="29">
        <f ca="1">IFERROR(__xludf.DUMMYFUNCTION("""COMPUTED_VALUE"""),2)</f>
        <v>2</v>
      </c>
      <c r="K734" s="29">
        <f ca="1">IFERROR(__xludf.DUMMYFUNCTION("""COMPUTED_VALUE"""),0)</f>
        <v>0</v>
      </c>
      <c r="L734" s="29">
        <f ca="1">IFERROR(__xludf.DUMMYFUNCTION("""COMPUTED_VALUE"""),0)</f>
        <v>0</v>
      </c>
      <c r="M734" s="29">
        <f ca="1">IFERROR(__xludf.DUMMYFUNCTION("""COMPUTED_VALUE"""),0)</f>
        <v>0</v>
      </c>
      <c r="N734" s="29">
        <f ca="1">IFERROR(__xludf.DUMMYFUNCTION("""COMPUTED_VALUE"""),0)</f>
        <v>0</v>
      </c>
    </row>
    <row r="735" spans="2:14" ht="12.5">
      <c r="B735" s="2" t="str">
        <f ca="1">IFERROR(__xludf.DUMMYFUNCTION("""COMPUTED_VALUE"""),"金沢二水高")</f>
        <v>金沢二水高</v>
      </c>
      <c r="C735" s="2" t="str">
        <f ca="1">IFERROR(__xludf.DUMMYFUNCTION("""COMPUTED_VALUE"""),"#N/A")</f>
        <v>#N/A</v>
      </c>
      <c r="D735" s="2">
        <f ca="1">IFERROR(__xludf.DUMMYFUNCTION("""COMPUTED_VALUE"""),0)</f>
        <v>0</v>
      </c>
      <c r="E735" s="29">
        <f ca="1">IFERROR(__xludf.DUMMYFUNCTION("""COMPUTED_VALUE"""),0)</f>
        <v>0</v>
      </c>
      <c r="F735" s="30">
        <f ca="1">IFERROR(__xludf.DUMMYFUNCTION("""COMPUTED_VALUE"""),0)</f>
        <v>0</v>
      </c>
      <c r="G735" s="29">
        <f ca="1">IFERROR(__xludf.DUMMYFUNCTION("""COMPUTED_VALUE"""),0)</f>
        <v>0</v>
      </c>
      <c r="H735" s="30">
        <f ca="1">IFERROR(__xludf.DUMMYFUNCTION("""COMPUTED_VALUE"""),0)</f>
        <v>0</v>
      </c>
      <c r="I735" s="29">
        <f ca="1">IFERROR(__xludf.DUMMYFUNCTION("""COMPUTED_VALUE"""),2000)</f>
        <v>2000</v>
      </c>
      <c r="J735" s="29">
        <f ca="1">IFERROR(__xludf.DUMMYFUNCTION("""COMPUTED_VALUE"""),1)</f>
        <v>1</v>
      </c>
      <c r="K735" s="29">
        <f ca="1">IFERROR(__xludf.DUMMYFUNCTION("""COMPUTED_VALUE"""),20000)</f>
        <v>20000</v>
      </c>
      <c r="L735" s="29">
        <f ca="1">IFERROR(__xludf.DUMMYFUNCTION("""COMPUTED_VALUE"""),10)</f>
        <v>10</v>
      </c>
      <c r="M735" s="29">
        <f ca="1">IFERROR(__xludf.DUMMYFUNCTION("""COMPUTED_VALUE"""),0)</f>
        <v>0</v>
      </c>
      <c r="N735" s="29">
        <f ca="1">IFERROR(__xludf.DUMMYFUNCTION("""COMPUTED_VALUE"""),0)</f>
        <v>0</v>
      </c>
    </row>
    <row r="736" spans="2:14" ht="12.5">
      <c r="B736" s="2" t="str">
        <f ca="1">IFERROR(__xludf.DUMMYFUNCTION("""COMPUTED_VALUE"""),"浜松学芸高")</f>
        <v>浜松学芸高</v>
      </c>
      <c r="C736" s="2" t="str">
        <f ca="1">IFERROR(__xludf.DUMMYFUNCTION("""COMPUTED_VALUE"""),"#N/A")</f>
        <v>#N/A</v>
      </c>
      <c r="D736" s="2">
        <f ca="1">IFERROR(__xludf.DUMMYFUNCTION("""COMPUTED_VALUE"""),0)</f>
        <v>0</v>
      </c>
      <c r="E736" s="29">
        <f ca="1">IFERROR(__xludf.DUMMYFUNCTION("""COMPUTED_VALUE"""),0)</f>
        <v>0</v>
      </c>
      <c r="F736" s="30">
        <f ca="1">IFERROR(__xludf.DUMMYFUNCTION("""COMPUTED_VALUE"""),0)</f>
        <v>0</v>
      </c>
      <c r="G736" s="29">
        <f ca="1">IFERROR(__xludf.DUMMYFUNCTION("""COMPUTED_VALUE"""),0)</f>
        <v>0</v>
      </c>
      <c r="H736" s="30">
        <f ca="1">IFERROR(__xludf.DUMMYFUNCTION("""COMPUTED_VALUE"""),0)</f>
        <v>0</v>
      </c>
      <c r="I736" s="29">
        <f ca="1">IFERROR(__xludf.DUMMYFUNCTION("""COMPUTED_VALUE"""),2000)</f>
        <v>2000</v>
      </c>
      <c r="J736" s="29">
        <f ca="1">IFERROR(__xludf.DUMMYFUNCTION("""COMPUTED_VALUE"""),1)</f>
        <v>1</v>
      </c>
      <c r="K736" s="29">
        <f ca="1">IFERROR(__xludf.DUMMYFUNCTION("""COMPUTED_VALUE"""),4000)</f>
        <v>4000</v>
      </c>
      <c r="L736" s="29">
        <f ca="1">IFERROR(__xludf.DUMMYFUNCTION("""COMPUTED_VALUE"""),2)</f>
        <v>2</v>
      </c>
      <c r="M736" s="29">
        <f ca="1">IFERROR(__xludf.DUMMYFUNCTION("""COMPUTED_VALUE"""),0)</f>
        <v>0</v>
      </c>
      <c r="N736" s="29">
        <f ca="1">IFERROR(__xludf.DUMMYFUNCTION("""COMPUTED_VALUE"""),0)</f>
        <v>0</v>
      </c>
    </row>
    <row r="737" spans="2:14" ht="12.5">
      <c r="B737" s="2" t="str">
        <f ca="1">IFERROR(__xludf.DUMMYFUNCTION("""COMPUTED_VALUE"""),"開邦高")</f>
        <v>開邦高</v>
      </c>
      <c r="C737" s="2" t="str">
        <f ca="1">IFERROR(__xludf.DUMMYFUNCTION("""COMPUTED_VALUE"""),"#N/A")</f>
        <v>#N/A</v>
      </c>
      <c r="D737" s="2">
        <f ca="1">IFERROR(__xludf.DUMMYFUNCTION("""COMPUTED_VALUE"""),0)</f>
        <v>0</v>
      </c>
      <c r="E737" s="29">
        <f ca="1">IFERROR(__xludf.DUMMYFUNCTION("""COMPUTED_VALUE"""),0)</f>
        <v>0</v>
      </c>
      <c r="F737" s="30">
        <f ca="1">IFERROR(__xludf.DUMMYFUNCTION("""COMPUTED_VALUE"""),0)</f>
        <v>0</v>
      </c>
      <c r="G737" s="29">
        <f ca="1">IFERROR(__xludf.DUMMYFUNCTION("""COMPUTED_VALUE"""),0)</f>
        <v>0</v>
      </c>
      <c r="H737" s="30">
        <f ca="1">IFERROR(__xludf.DUMMYFUNCTION("""COMPUTED_VALUE"""),0)</f>
        <v>0</v>
      </c>
      <c r="I737" s="29">
        <f ca="1">IFERROR(__xludf.DUMMYFUNCTION("""COMPUTED_VALUE"""),4000)</f>
        <v>4000</v>
      </c>
      <c r="J737" s="29">
        <f ca="1">IFERROR(__xludf.DUMMYFUNCTION("""COMPUTED_VALUE"""),2)</f>
        <v>2</v>
      </c>
      <c r="K737" s="29">
        <f ca="1">IFERROR(__xludf.DUMMYFUNCTION("""COMPUTED_VALUE"""),12000)</f>
        <v>12000</v>
      </c>
      <c r="L737" s="29">
        <f ca="1">IFERROR(__xludf.DUMMYFUNCTION("""COMPUTED_VALUE"""),6)</f>
        <v>6</v>
      </c>
      <c r="M737" s="29">
        <f ca="1">IFERROR(__xludf.DUMMYFUNCTION("""COMPUTED_VALUE"""),0)</f>
        <v>0</v>
      </c>
      <c r="N737" s="29">
        <f ca="1">IFERROR(__xludf.DUMMYFUNCTION("""COMPUTED_VALUE"""),0)</f>
        <v>0</v>
      </c>
    </row>
    <row r="738" spans="2:14" ht="12.5">
      <c r="B738" s="2" t="str">
        <f ca="1">IFERROR(__xludf.DUMMYFUNCTION("""COMPUTED_VALUE"""),"國學院高")</f>
        <v>國學院高</v>
      </c>
      <c r="C738" s="2" t="str">
        <f ca="1">IFERROR(__xludf.DUMMYFUNCTION("""COMPUTED_VALUE"""),"#N/A")</f>
        <v>#N/A</v>
      </c>
      <c r="D738" s="2">
        <f ca="1">IFERROR(__xludf.DUMMYFUNCTION("""COMPUTED_VALUE"""),0)</f>
        <v>0</v>
      </c>
      <c r="E738" s="29">
        <f ca="1">IFERROR(__xludf.DUMMYFUNCTION("""COMPUTED_VALUE"""),0)</f>
        <v>0</v>
      </c>
      <c r="F738" s="30">
        <f ca="1">IFERROR(__xludf.DUMMYFUNCTION("""COMPUTED_VALUE"""),0)</f>
        <v>0</v>
      </c>
      <c r="G738" s="29">
        <f ca="1">IFERROR(__xludf.DUMMYFUNCTION("""COMPUTED_VALUE"""),0)</f>
        <v>0</v>
      </c>
      <c r="H738" s="30">
        <f ca="1">IFERROR(__xludf.DUMMYFUNCTION("""COMPUTED_VALUE"""),0)</f>
        <v>0</v>
      </c>
      <c r="I738" s="29">
        <f ca="1">IFERROR(__xludf.DUMMYFUNCTION("""COMPUTED_VALUE"""),2000)</f>
        <v>2000</v>
      </c>
      <c r="J738" s="29">
        <f ca="1">IFERROR(__xludf.DUMMYFUNCTION("""COMPUTED_VALUE"""),1)</f>
        <v>1</v>
      </c>
      <c r="K738" s="29">
        <f ca="1">IFERROR(__xludf.DUMMYFUNCTION("""COMPUTED_VALUE"""),6000)</f>
        <v>6000</v>
      </c>
      <c r="L738" s="29">
        <f ca="1">IFERROR(__xludf.DUMMYFUNCTION("""COMPUTED_VALUE"""),3)</f>
        <v>3</v>
      </c>
      <c r="M738" s="29">
        <f ca="1">IFERROR(__xludf.DUMMYFUNCTION("""COMPUTED_VALUE"""),0)</f>
        <v>0</v>
      </c>
      <c r="N738" s="29">
        <f ca="1">IFERROR(__xludf.DUMMYFUNCTION("""COMPUTED_VALUE"""),0)</f>
        <v>0</v>
      </c>
    </row>
    <row r="739" spans="2:14" ht="12.5">
      <c r="B739" s="2" t="str">
        <f ca="1">IFERROR(__xludf.DUMMYFUNCTION("""COMPUTED_VALUE"""),"駿台甲府高")</f>
        <v>駿台甲府高</v>
      </c>
      <c r="C739" s="2" t="str">
        <f ca="1">IFERROR(__xludf.DUMMYFUNCTION("""COMPUTED_VALUE"""),"#N/A")</f>
        <v>#N/A</v>
      </c>
      <c r="D739" s="2">
        <f ca="1">IFERROR(__xludf.DUMMYFUNCTION("""COMPUTED_VALUE"""),0)</f>
        <v>0</v>
      </c>
      <c r="E739" s="29">
        <f ca="1">IFERROR(__xludf.DUMMYFUNCTION("""COMPUTED_VALUE"""),0)</f>
        <v>0</v>
      </c>
      <c r="F739" s="30">
        <f ca="1">IFERROR(__xludf.DUMMYFUNCTION("""COMPUTED_VALUE"""),0)</f>
        <v>0</v>
      </c>
      <c r="G739" s="29">
        <f ca="1">IFERROR(__xludf.DUMMYFUNCTION("""COMPUTED_VALUE"""),0)</f>
        <v>0</v>
      </c>
      <c r="H739" s="30">
        <f ca="1">IFERROR(__xludf.DUMMYFUNCTION("""COMPUTED_VALUE"""),0)</f>
        <v>0</v>
      </c>
      <c r="I739" s="29">
        <f ca="1">IFERROR(__xludf.DUMMYFUNCTION("""COMPUTED_VALUE"""),2000)</f>
        <v>2000</v>
      </c>
      <c r="J739" s="29">
        <f ca="1">IFERROR(__xludf.DUMMYFUNCTION("""COMPUTED_VALUE"""),1)</f>
        <v>1</v>
      </c>
      <c r="K739" s="29">
        <f ca="1">IFERROR(__xludf.DUMMYFUNCTION("""COMPUTED_VALUE"""),2000)</f>
        <v>2000</v>
      </c>
      <c r="L739" s="29">
        <f ca="1">IFERROR(__xludf.DUMMYFUNCTION("""COMPUTED_VALUE"""),1)</f>
        <v>1</v>
      </c>
      <c r="M739" s="29">
        <f ca="1">IFERROR(__xludf.DUMMYFUNCTION("""COMPUTED_VALUE"""),0)</f>
        <v>0</v>
      </c>
      <c r="N739" s="29">
        <f ca="1">IFERROR(__xludf.DUMMYFUNCTION("""COMPUTED_VALUE"""),0)</f>
        <v>0</v>
      </c>
    </row>
    <row r="740" spans="2:14" ht="12.5">
      <c r="B740" s="2" t="str">
        <f ca="1">IFERROR(__xludf.DUMMYFUNCTION("""COMPUTED_VALUE"""),"国府台女子学院")</f>
        <v>国府台女子学院</v>
      </c>
      <c r="C740" s="2" t="str">
        <f ca="1">IFERROR(__xludf.DUMMYFUNCTION("""COMPUTED_VALUE"""),"#N/A")</f>
        <v>#N/A</v>
      </c>
      <c r="D740" s="2">
        <f ca="1">IFERROR(__xludf.DUMMYFUNCTION("""COMPUTED_VALUE"""),0)</f>
        <v>0</v>
      </c>
      <c r="E740" s="29">
        <f ca="1">IFERROR(__xludf.DUMMYFUNCTION("""COMPUTED_VALUE"""),0)</f>
        <v>0</v>
      </c>
      <c r="F740" s="30">
        <f ca="1">IFERROR(__xludf.DUMMYFUNCTION("""COMPUTED_VALUE"""),0)</f>
        <v>0</v>
      </c>
      <c r="G740" s="29">
        <f ca="1">IFERROR(__xludf.DUMMYFUNCTION("""COMPUTED_VALUE"""),0)</f>
        <v>0</v>
      </c>
      <c r="H740" s="30">
        <f ca="1">IFERROR(__xludf.DUMMYFUNCTION("""COMPUTED_VALUE"""),0)</f>
        <v>0</v>
      </c>
      <c r="I740" s="29">
        <f ca="1">IFERROR(__xludf.DUMMYFUNCTION("""COMPUTED_VALUE"""),2000)</f>
        <v>2000</v>
      </c>
      <c r="J740" s="29">
        <f ca="1">IFERROR(__xludf.DUMMYFUNCTION("""COMPUTED_VALUE"""),1)</f>
        <v>1</v>
      </c>
      <c r="K740" s="29">
        <f ca="1">IFERROR(__xludf.DUMMYFUNCTION("""COMPUTED_VALUE"""),6000)</f>
        <v>6000</v>
      </c>
      <c r="L740" s="29">
        <f ca="1">IFERROR(__xludf.DUMMYFUNCTION("""COMPUTED_VALUE"""),3)</f>
        <v>3</v>
      </c>
      <c r="M740" s="29">
        <f ca="1">IFERROR(__xludf.DUMMYFUNCTION("""COMPUTED_VALUE"""),0)</f>
        <v>0</v>
      </c>
      <c r="N740" s="29">
        <f ca="1">IFERROR(__xludf.DUMMYFUNCTION("""COMPUTED_VALUE"""),0)</f>
        <v>0</v>
      </c>
    </row>
    <row r="741" spans="2:14" ht="12.5">
      <c r="B741" s="2" t="str">
        <f ca="1">IFERROR(__xludf.DUMMYFUNCTION("""COMPUTED_VALUE"""),"清流館高")</f>
        <v>清流館高</v>
      </c>
      <c r="C741" s="2" t="str">
        <f ca="1">IFERROR(__xludf.DUMMYFUNCTION("""COMPUTED_VALUE"""),"#N/A")</f>
        <v>#N/A</v>
      </c>
      <c r="D741" s="2">
        <f ca="1">IFERROR(__xludf.DUMMYFUNCTION("""COMPUTED_VALUE"""),0)</f>
        <v>0</v>
      </c>
      <c r="E741" s="29">
        <f ca="1">IFERROR(__xludf.DUMMYFUNCTION("""COMPUTED_VALUE"""),0)</f>
        <v>0</v>
      </c>
      <c r="F741" s="30">
        <f ca="1">IFERROR(__xludf.DUMMYFUNCTION("""COMPUTED_VALUE"""),0)</f>
        <v>0</v>
      </c>
      <c r="G741" s="29">
        <f ca="1">IFERROR(__xludf.DUMMYFUNCTION("""COMPUTED_VALUE"""),0)</f>
        <v>0</v>
      </c>
      <c r="H741" s="30">
        <f ca="1">IFERROR(__xludf.DUMMYFUNCTION("""COMPUTED_VALUE"""),0)</f>
        <v>0</v>
      </c>
      <c r="I741" s="29">
        <f ca="1">IFERROR(__xludf.DUMMYFUNCTION("""COMPUTED_VALUE"""),4000)</f>
        <v>4000</v>
      </c>
      <c r="J741" s="29">
        <f ca="1">IFERROR(__xludf.DUMMYFUNCTION("""COMPUTED_VALUE"""),2)</f>
        <v>2</v>
      </c>
      <c r="K741" s="29">
        <f ca="1">IFERROR(__xludf.DUMMYFUNCTION("""COMPUTED_VALUE"""),8000)</f>
        <v>8000</v>
      </c>
      <c r="L741" s="29">
        <f ca="1">IFERROR(__xludf.DUMMYFUNCTION("""COMPUTED_VALUE"""),4)</f>
        <v>4</v>
      </c>
      <c r="M741" s="29">
        <f ca="1">IFERROR(__xludf.DUMMYFUNCTION("""COMPUTED_VALUE"""),0)</f>
        <v>0</v>
      </c>
      <c r="N741" s="29">
        <f ca="1">IFERROR(__xludf.DUMMYFUNCTION("""COMPUTED_VALUE"""),0)</f>
        <v>0</v>
      </c>
    </row>
    <row r="742" spans="2:14" ht="12.5">
      <c r="B742" s="2" t="str">
        <f ca="1">IFERROR(__xludf.DUMMYFUNCTION("""COMPUTED_VALUE"""),"済美平成中等教育")</f>
        <v>済美平成中等教育</v>
      </c>
      <c r="C742" s="2" t="str">
        <f ca="1">IFERROR(__xludf.DUMMYFUNCTION("""COMPUTED_VALUE"""),"#N/A")</f>
        <v>#N/A</v>
      </c>
      <c r="D742" s="2">
        <f ca="1">IFERROR(__xludf.DUMMYFUNCTION("""COMPUTED_VALUE"""),0)</f>
        <v>0</v>
      </c>
      <c r="E742" s="29">
        <f ca="1">IFERROR(__xludf.DUMMYFUNCTION("""COMPUTED_VALUE"""),0)</f>
        <v>0</v>
      </c>
      <c r="F742" s="30">
        <f ca="1">IFERROR(__xludf.DUMMYFUNCTION("""COMPUTED_VALUE"""),0)</f>
        <v>0</v>
      </c>
      <c r="G742" s="29">
        <f ca="1">IFERROR(__xludf.DUMMYFUNCTION("""COMPUTED_VALUE"""),0)</f>
        <v>0</v>
      </c>
      <c r="H742" s="30">
        <f ca="1">IFERROR(__xludf.DUMMYFUNCTION("""COMPUTED_VALUE"""),0)</f>
        <v>0</v>
      </c>
      <c r="I742" s="29">
        <f ca="1">IFERROR(__xludf.DUMMYFUNCTION("""COMPUTED_VALUE"""),4000)</f>
        <v>4000</v>
      </c>
      <c r="J742" s="29">
        <f ca="1">IFERROR(__xludf.DUMMYFUNCTION("""COMPUTED_VALUE"""),2)</f>
        <v>2</v>
      </c>
      <c r="K742" s="29">
        <f ca="1">IFERROR(__xludf.DUMMYFUNCTION("""COMPUTED_VALUE"""),0)</f>
        <v>0</v>
      </c>
      <c r="L742" s="29">
        <f ca="1">IFERROR(__xludf.DUMMYFUNCTION("""COMPUTED_VALUE"""),0)</f>
        <v>0</v>
      </c>
      <c r="M742" s="29">
        <f ca="1">IFERROR(__xludf.DUMMYFUNCTION("""COMPUTED_VALUE"""),0)</f>
        <v>0</v>
      </c>
      <c r="N742" s="29">
        <f ca="1">IFERROR(__xludf.DUMMYFUNCTION("""COMPUTED_VALUE"""),0)</f>
        <v>0</v>
      </c>
    </row>
    <row r="743" spans="2:14" ht="12.5">
      <c r="B743" s="2" t="str">
        <f ca="1">IFERROR(__xludf.DUMMYFUNCTION("""COMPUTED_VALUE"""),"札幌北高")</f>
        <v>札幌北高</v>
      </c>
      <c r="C743" s="2" t="str">
        <f ca="1">IFERROR(__xludf.DUMMYFUNCTION("""COMPUTED_VALUE"""),"#N/A")</f>
        <v>#N/A</v>
      </c>
      <c r="D743" s="2">
        <f ca="1">IFERROR(__xludf.DUMMYFUNCTION("""COMPUTED_VALUE"""),0)</f>
        <v>0</v>
      </c>
      <c r="E743" s="29">
        <f ca="1">IFERROR(__xludf.DUMMYFUNCTION("""COMPUTED_VALUE"""),0)</f>
        <v>0</v>
      </c>
      <c r="F743" s="30">
        <f ca="1">IFERROR(__xludf.DUMMYFUNCTION("""COMPUTED_VALUE"""),0)</f>
        <v>0</v>
      </c>
      <c r="G743" s="29">
        <f ca="1">IFERROR(__xludf.DUMMYFUNCTION("""COMPUTED_VALUE"""),0)</f>
        <v>0</v>
      </c>
      <c r="H743" s="30">
        <f ca="1">IFERROR(__xludf.DUMMYFUNCTION("""COMPUTED_VALUE"""),0)</f>
        <v>0</v>
      </c>
      <c r="I743" s="29">
        <f ca="1">IFERROR(__xludf.DUMMYFUNCTION("""COMPUTED_VALUE"""),4000)</f>
        <v>4000</v>
      </c>
      <c r="J743" s="29">
        <f ca="1">IFERROR(__xludf.DUMMYFUNCTION("""COMPUTED_VALUE"""),2)</f>
        <v>2</v>
      </c>
      <c r="K743" s="29">
        <f ca="1">IFERROR(__xludf.DUMMYFUNCTION("""COMPUTED_VALUE"""),2000)</f>
        <v>2000</v>
      </c>
      <c r="L743" s="29">
        <f ca="1">IFERROR(__xludf.DUMMYFUNCTION("""COMPUTED_VALUE"""),1)</f>
        <v>1</v>
      </c>
      <c r="M743" s="29">
        <f ca="1">IFERROR(__xludf.DUMMYFUNCTION("""COMPUTED_VALUE"""),0)</f>
        <v>0</v>
      </c>
      <c r="N743" s="29">
        <f ca="1">IFERROR(__xludf.DUMMYFUNCTION("""COMPUTED_VALUE"""),0)</f>
        <v>0</v>
      </c>
    </row>
    <row r="744" spans="2:14" ht="12.5">
      <c r="B744" s="2" t="str">
        <f ca="1">IFERROR(__xludf.DUMMYFUNCTION("""COMPUTED_VALUE"""),"春日丘高")</f>
        <v>春日丘高</v>
      </c>
      <c r="C744" s="2" t="str">
        <f ca="1">IFERROR(__xludf.DUMMYFUNCTION("""COMPUTED_VALUE"""),"#N/A")</f>
        <v>#N/A</v>
      </c>
      <c r="D744" s="2">
        <f ca="1">IFERROR(__xludf.DUMMYFUNCTION("""COMPUTED_VALUE"""),0)</f>
        <v>0</v>
      </c>
      <c r="E744" s="29">
        <f ca="1">IFERROR(__xludf.DUMMYFUNCTION("""COMPUTED_VALUE"""),0)</f>
        <v>0</v>
      </c>
      <c r="F744" s="30">
        <f ca="1">IFERROR(__xludf.DUMMYFUNCTION("""COMPUTED_VALUE"""),0)</f>
        <v>0</v>
      </c>
      <c r="G744" s="29">
        <f ca="1">IFERROR(__xludf.DUMMYFUNCTION("""COMPUTED_VALUE"""),0)</f>
        <v>0</v>
      </c>
      <c r="H744" s="30">
        <f ca="1">IFERROR(__xludf.DUMMYFUNCTION("""COMPUTED_VALUE"""),0)</f>
        <v>0</v>
      </c>
      <c r="I744" s="29">
        <f ca="1">IFERROR(__xludf.DUMMYFUNCTION("""COMPUTED_VALUE"""),2000)</f>
        <v>2000</v>
      </c>
      <c r="J744" s="29">
        <f ca="1">IFERROR(__xludf.DUMMYFUNCTION("""COMPUTED_VALUE"""),1)</f>
        <v>1</v>
      </c>
      <c r="K744" s="29">
        <f ca="1">IFERROR(__xludf.DUMMYFUNCTION("""COMPUTED_VALUE"""),2000)</f>
        <v>2000</v>
      </c>
      <c r="L744" s="29">
        <f ca="1">IFERROR(__xludf.DUMMYFUNCTION("""COMPUTED_VALUE"""),1)</f>
        <v>1</v>
      </c>
      <c r="M744" s="29">
        <f ca="1">IFERROR(__xludf.DUMMYFUNCTION("""COMPUTED_VALUE"""),0)</f>
        <v>0</v>
      </c>
      <c r="N744" s="29">
        <f ca="1">IFERROR(__xludf.DUMMYFUNCTION("""COMPUTED_VALUE"""),0)</f>
        <v>0</v>
      </c>
    </row>
    <row r="745" spans="2:14" ht="12.5">
      <c r="B745" s="2" t="str">
        <f ca="1">IFERROR(__xludf.DUMMYFUNCTION("""COMPUTED_VALUE"""),"相生学院高")</f>
        <v>相生学院高</v>
      </c>
      <c r="C745" s="2" t="str">
        <f ca="1">IFERROR(__xludf.DUMMYFUNCTION("""COMPUTED_VALUE"""),"#N/A")</f>
        <v>#N/A</v>
      </c>
      <c r="D745" s="2">
        <f ca="1">IFERROR(__xludf.DUMMYFUNCTION("""COMPUTED_VALUE"""),0)</f>
        <v>0</v>
      </c>
      <c r="E745" s="29">
        <f ca="1">IFERROR(__xludf.DUMMYFUNCTION("""COMPUTED_VALUE"""),0)</f>
        <v>0</v>
      </c>
      <c r="F745" s="30">
        <f ca="1">IFERROR(__xludf.DUMMYFUNCTION("""COMPUTED_VALUE"""),0)</f>
        <v>0</v>
      </c>
      <c r="G745" s="29">
        <f ca="1">IFERROR(__xludf.DUMMYFUNCTION("""COMPUTED_VALUE"""),0)</f>
        <v>0</v>
      </c>
      <c r="H745" s="30">
        <f ca="1">IFERROR(__xludf.DUMMYFUNCTION("""COMPUTED_VALUE"""),0)</f>
        <v>0</v>
      </c>
      <c r="I745" s="29">
        <f ca="1">IFERROR(__xludf.DUMMYFUNCTION("""COMPUTED_VALUE"""),2000)</f>
        <v>2000</v>
      </c>
      <c r="J745" s="29">
        <f ca="1">IFERROR(__xludf.DUMMYFUNCTION("""COMPUTED_VALUE"""),1)</f>
        <v>1</v>
      </c>
      <c r="K745" s="29">
        <f ca="1">IFERROR(__xludf.DUMMYFUNCTION("""COMPUTED_VALUE"""),0)</f>
        <v>0</v>
      </c>
      <c r="L745" s="29">
        <f ca="1">IFERROR(__xludf.DUMMYFUNCTION("""COMPUTED_VALUE"""),0)</f>
        <v>0</v>
      </c>
      <c r="M745" s="29">
        <f ca="1">IFERROR(__xludf.DUMMYFUNCTION("""COMPUTED_VALUE"""),0)</f>
        <v>0</v>
      </c>
      <c r="N745" s="29">
        <f ca="1">IFERROR(__xludf.DUMMYFUNCTION("""COMPUTED_VALUE"""),0)</f>
        <v>0</v>
      </c>
    </row>
    <row r="746" spans="2:14" ht="12.5">
      <c r="B746" s="2" t="str">
        <f ca="1">IFERROR(__xludf.DUMMYFUNCTION("""COMPUTED_VALUE"""),"ノートルダム清心高")</f>
        <v>ノートルダム清心高</v>
      </c>
      <c r="C746" s="2" t="str">
        <f ca="1">IFERROR(__xludf.DUMMYFUNCTION("""COMPUTED_VALUE"""),"#N/A")</f>
        <v>#N/A</v>
      </c>
      <c r="D746" s="2">
        <f ca="1">IFERROR(__xludf.DUMMYFUNCTION("""COMPUTED_VALUE"""),0)</f>
        <v>0</v>
      </c>
      <c r="E746" s="29">
        <f ca="1">IFERROR(__xludf.DUMMYFUNCTION("""COMPUTED_VALUE"""),0)</f>
        <v>0</v>
      </c>
      <c r="F746" s="30">
        <f ca="1">IFERROR(__xludf.DUMMYFUNCTION("""COMPUTED_VALUE"""),0)</f>
        <v>0</v>
      </c>
      <c r="G746" s="29">
        <f ca="1">IFERROR(__xludf.DUMMYFUNCTION("""COMPUTED_VALUE"""),0)</f>
        <v>0</v>
      </c>
      <c r="H746" s="30">
        <f ca="1">IFERROR(__xludf.DUMMYFUNCTION("""COMPUTED_VALUE"""),0)</f>
        <v>0</v>
      </c>
      <c r="I746" s="29">
        <f ca="1">IFERROR(__xludf.DUMMYFUNCTION("""COMPUTED_VALUE"""),8000)</f>
        <v>8000</v>
      </c>
      <c r="J746" s="29">
        <f ca="1">IFERROR(__xludf.DUMMYFUNCTION("""COMPUTED_VALUE"""),4)</f>
        <v>4</v>
      </c>
      <c r="K746" s="29">
        <f ca="1">IFERROR(__xludf.DUMMYFUNCTION("""COMPUTED_VALUE"""),6000)</f>
        <v>6000</v>
      </c>
      <c r="L746" s="29">
        <f ca="1">IFERROR(__xludf.DUMMYFUNCTION("""COMPUTED_VALUE"""),3)</f>
        <v>3</v>
      </c>
      <c r="M746" s="29">
        <f ca="1">IFERROR(__xludf.DUMMYFUNCTION("""COMPUTED_VALUE"""),0)</f>
        <v>0</v>
      </c>
      <c r="N746" s="29">
        <f ca="1">IFERROR(__xludf.DUMMYFUNCTION("""COMPUTED_VALUE"""),0)</f>
        <v>0</v>
      </c>
    </row>
    <row r="747" spans="2:14" ht="12.5">
      <c r="B747" s="2" t="str">
        <f ca="1">IFERROR(__xludf.DUMMYFUNCTION("""COMPUTED_VALUE"""),"那覇国際高")</f>
        <v>那覇国際高</v>
      </c>
      <c r="C747" s="2" t="str">
        <f ca="1">IFERROR(__xludf.DUMMYFUNCTION("""COMPUTED_VALUE"""),"#N/A")</f>
        <v>#N/A</v>
      </c>
      <c r="D747" s="2">
        <f ca="1">IFERROR(__xludf.DUMMYFUNCTION("""COMPUTED_VALUE"""),0)</f>
        <v>0</v>
      </c>
      <c r="E747" s="29">
        <f ca="1">IFERROR(__xludf.DUMMYFUNCTION("""COMPUTED_VALUE"""),0)</f>
        <v>0</v>
      </c>
      <c r="F747" s="30">
        <f ca="1">IFERROR(__xludf.DUMMYFUNCTION("""COMPUTED_VALUE"""),0)</f>
        <v>0</v>
      </c>
      <c r="G747" s="29">
        <f ca="1">IFERROR(__xludf.DUMMYFUNCTION("""COMPUTED_VALUE"""),0)</f>
        <v>0</v>
      </c>
      <c r="H747" s="30">
        <f ca="1">IFERROR(__xludf.DUMMYFUNCTION("""COMPUTED_VALUE"""),0)</f>
        <v>0</v>
      </c>
      <c r="I747" s="29">
        <f ca="1">IFERROR(__xludf.DUMMYFUNCTION("""COMPUTED_VALUE"""),4000)</f>
        <v>4000</v>
      </c>
      <c r="J747" s="29">
        <f ca="1">IFERROR(__xludf.DUMMYFUNCTION("""COMPUTED_VALUE"""),2)</f>
        <v>2</v>
      </c>
      <c r="K747" s="29">
        <f ca="1">IFERROR(__xludf.DUMMYFUNCTION("""COMPUTED_VALUE"""),10000)</f>
        <v>10000</v>
      </c>
      <c r="L747" s="29">
        <f ca="1">IFERROR(__xludf.DUMMYFUNCTION("""COMPUTED_VALUE"""),5)</f>
        <v>5</v>
      </c>
      <c r="M747" s="29">
        <f ca="1">IFERROR(__xludf.DUMMYFUNCTION("""COMPUTED_VALUE"""),0)</f>
        <v>0</v>
      </c>
      <c r="N747" s="29">
        <f ca="1">IFERROR(__xludf.DUMMYFUNCTION("""COMPUTED_VALUE"""),0)</f>
        <v>0</v>
      </c>
    </row>
    <row r="748" spans="2:14" ht="12.5">
      <c r="B748" s="2" t="str">
        <f ca="1">IFERROR(__xludf.DUMMYFUNCTION("""COMPUTED_VALUE"""),"開智未来高")</f>
        <v>開智未来高</v>
      </c>
      <c r="C748" s="2" t="str">
        <f ca="1">IFERROR(__xludf.DUMMYFUNCTION("""COMPUTED_VALUE"""),"#N/A")</f>
        <v>#N/A</v>
      </c>
      <c r="D748" s="2">
        <f ca="1">IFERROR(__xludf.DUMMYFUNCTION("""COMPUTED_VALUE"""),0)</f>
        <v>0</v>
      </c>
      <c r="E748" s="29">
        <f ca="1">IFERROR(__xludf.DUMMYFUNCTION("""COMPUTED_VALUE"""),0)</f>
        <v>0</v>
      </c>
      <c r="F748" s="30">
        <f ca="1">IFERROR(__xludf.DUMMYFUNCTION("""COMPUTED_VALUE"""),0)</f>
        <v>0</v>
      </c>
      <c r="G748" s="29">
        <f ca="1">IFERROR(__xludf.DUMMYFUNCTION("""COMPUTED_VALUE"""),0)</f>
        <v>0</v>
      </c>
      <c r="H748" s="30">
        <f ca="1">IFERROR(__xludf.DUMMYFUNCTION("""COMPUTED_VALUE"""),0)</f>
        <v>0</v>
      </c>
      <c r="I748" s="29">
        <f ca="1">IFERROR(__xludf.DUMMYFUNCTION("""COMPUTED_VALUE"""),2000)</f>
        <v>2000</v>
      </c>
      <c r="J748" s="29">
        <f ca="1">IFERROR(__xludf.DUMMYFUNCTION("""COMPUTED_VALUE"""),1)</f>
        <v>1</v>
      </c>
      <c r="K748" s="29">
        <f ca="1">IFERROR(__xludf.DUMMYFUNCTION("""COMPUTED_VALUE"""),0)</f>
        <v>0</v>
      </c>
      <c r="L748" s="29">
        <f ca="1">IFERROR(__xludf.DUMMYFUNCTION("""COMPUTED_VALUE"""),0)</f>
        <v>0</v>
      </c>
      <c r="M748" s="29">
        <f ca="1">IFERROR(__xludf.DUMMYFUNCTION("""COMPUTED_VALUE"""),0)</f>
        <v>0</v>
      </c>
      <c r="N748" s="29">
        <f ca="1">IFERROR(__xludf.DUMMYFUNCTION("""COMPUTED_VALUE"""),0)</f>
        <v>0</v>
      </c>
    </row>
    <row r="749" spans="2:14" ht="12.5">
      <c r="B749" s="2" t="str">
        <f ca="1">IFERROR(__xludf.DUMMYFUNCTION("""COMPUTED_VALUE"""),"横浜共立学園高")</f>
        <v>横浜共立学園高</v>
      </c>
      <c r="C749" s="2" t="str">
        <f ca="1">IFERROR(__xludf.DUMMYFUNCTION("""COMPUTED_VALUE"""),"#N/A")</f>
        <v>#N/A</v>
      </c>
      <c r="D749" s="2">
        <f ca="1">IFERROR(__xludf.DUMMYFUNCTION("""COMPUTED_VALUE"""),0)</f>
        <v>0</v>
      </c>
      <c r="E749" s="29">
        <f ca="1">IFERROR(__xludf.DUMMYFUNCTION("""COMPUTED_VALUE"""),0)</f>
        <v>0</v>
      </c>
      <c r="F749" s="30">
        <f ca="1">IFERROR(__xludf.DUMMYFUNCTION("""COMPUTED_VALUE"""),0)</f>
        <v>0</v>
      </c>
      <c r="G749" s="29">
        <f ca="1">IFERROR(__xludf.DUMMYFUNCTION("""COMPUTED_VALUE"""),0)</f>
        <v>0</v>
      </c>
      <c r="H749" s="30">
        <f ca="1">IFERROR(__xludf.DUMMYFUNCTION("""COMPUTED_VALUE"""),0)</f>
        <v>0</v>
      </c>
      <c r="I749" s="29">
        <f ca="1">IFERROR(__xludf.DUMMYFUNCTION("""COMPUTED_VALUE"""),2000)</f>
        <v>2000</v>
      </c>
      <c r="J749" s="29">
        <f ca="1">IFERROR(__xludf.DUMMYFUNCTION("""COMPUTED_VALUE"""),1)</f>
        <v>1</v>
      </c>
      <c r="K749" s="29">
        <f ca="1">IFERROR(__xludf.DUMMYFUNCTION("""COMPUTED_VALUE"""),2000)</f>
        <v>2000</v>
      </c>
      <c r="L749" s="29">
        <f ca="1">IFERROR(__xludf.DUMMYFUNCTION("""COMPUTED_VALUE"""),1)</f>
        <v>1</v>
      </c>
      <c r="M749" s="29">
        <f ca="1">IFERROR(__xludf.DUMMYFUNCTION("""COMPUTED_VALUE"""),0)</f>
        <v>0</v>
      </c>
      <c r="N749" s="29">
        <f ca="1">IFERROR(__xludf.DUMMYFUNCTION("""COMPUTED_VALUE"""),0)</f>
        <v>0</v>
      </c>
    </row>
    <row r="750" spans="2:14" ht="12.5">
      <c r="B750" s="2" t="str">
        <f ca="1">IFERROR(__xludf.DUMMYFUNCTION("""COMPUTED_VALUE"""),"高岡高")</f>
        <v>高岡高</v>
      </c>
      <c r="C750" s="2" t="str">
        <f ca="1">IFERROR(__xludf.DUMMYFUNCTION("""COMPUTED_VALUE"""),"#N/A")</f>
        <v>#N/A</v>
      </c>
      <c r="D750" s="2">
        <f ca="1">IFERROR(__xludf.DUMMYFUNCTION("""COMPUTED_VALUE"""),0)</f>
        <v>0</v>
      </c>
      <c r="E750" s="29">
        <f ca="1">IFERROR(__xludf.DUMMYFUNCTION("""COMPUTED_VALUE"""),0)</f>
        <v>0</v>
      </c>
      <c r="F750" s="30">
        <f ca="1">IFERROR(__xludf.DUMMYFUNCTION("""COMPUTED_VALUE"""),0)</f>
        <v>0</v>
      </c>
      <c r="G750" s="29">
        <f ca="1">IFERROR(__xludf.DUMMYFUNCTION("""COMPUTED_VALUE"""),0)</f>
        <v>0</v>
      </c>
      <c r="H750" s="30">
        <f ca="1">IFERROR(__xludf.DUMMYFUNCTION("""COMPUTED_VALUE"""),0)</f>
        <v>0</v>
      </c>
      <c r="I750" s="29">
        <f ca="1">IFERROR(__xludf.DUMMYFUNCTION("""COMPUTED_VALUE"""),12000)</f>
        <v>12000</v>
      </c>
      <c r="J750" s="29">
        <f ca="1">IFERROR(__xludf.DUMMYFUNCTION("""COMPUTED_VALUE"""),6)</f>
        <v>6</v>
      </c>
      <c r="K750" s="29">
        <f ca="1">IFERROR(__xludf.DUMMYFUNCTION("""COMPUTED_VALUE"""),12000)</f>
        <v>12000</v>
      </c>
      <c r="L750" s="29">
        <f ca="1">IFERROR(__xludf.DUMMYFUNCTION("""COMPUTED_VALUE"""),6)</f>
        <v>6</v>
      </c>
      <c r="M750" s="29">
        <f ca="1">IFERROR(__xludf.DUMMYFUNCTION("""COMPUTED_VALUE"""),0)</f>
        <v>0</v>
      </c>
      <c r="N750" s="29">
        <f ca="1">IFERROR(__xludf.DUMMYFUNCTION("""COMPUTED_VALUE"""),0)</f>
        <v>0</v>
      </c>
    </row>
    <row r="751" spans="2:14" ht="12.5">
      <c r="B751" s="2" t="str">
        <f ca="1">IFERROR(__xludf.DUMMYFUNCTION("""COMPUTED_VALUE"""),"若狭高")</f>
        <v>若狭高</v>
      </c>
      <c r="C751" s="2" t="str">
        <f ca="1">IFERROR(__xludf.DUMMYFUNCTION("""COMPUTED_VALUE"""),"#N/A")</f>
        <v>#N/A</v>
      </c>
      <c r="D751" s="2">
        <f ca="1">IFERROR(__xludf.DUMMYFUNCTION("""COMPUTED_VALUE"""),0)</f>
        <v>0</v>
      </c>
      <c r="E751" s="29">
        <f ca="1">IFERROR(__xludf.DUMMYFUNCTION("""COMPUTED_VALUE"""),0)</f>
        <v>0</v>
      </c>
      <c r="F751" s="30">
        <f ca="1">IFERROR(__xludf.DUMMYFUNCTION("""COMPUTED_VALUE"""),0)</f>
        <v>0</v>
      </c>
      <c r="G751" s="29">
        <f ca="1">IFERROR(__xludf.DUMMYFUNCTION("""COMPUTED_VALUE"""),0)</f>
        <v>0</v>
      </c>
      <c r="H751" s="30">
        <f ca="1">IFERROR(__xludf.DUMMYFUNCTION("""COMPUTED_VALUE"""),0)</f>
        <v>0</v>
      </c>
      <c r="I751" s="29">
        <f ca="1">IFERROR(__xludf.DUMMYFUNCTION("""COMPUTED_VALUE"""),6000)</f>
        <v>6000</v>
      </c>
      <c r="J751" s="29">
        <f ca="1">IFERROR(__xludf.DUMMYFUNCTION("""COMPUTED_VALUE"""),3)</f>
        <v>3</v>
      </c>
      <c r="K751" s="29">
        <f ca="1">IFERROR(__xludf.DUMMYFUNCTION("""COMPUTED_VALUE"""),4000)</f>
        <v>4000</v>
      </c>
      <c r="L751" s="29">
        <f ca="1">IFERROR(__xludf.DUMMYFUNCTION("""COMPUTED_VALUE"""),2)</f>
        <v>2</v>
      </c>
      <c r="M751" s="29">
        <f ca="1">IFERROR(__xludf.DUMMYFUNCTION("""COMPUTED_VALUE"""),0)</f>
        <v>0</v>
      </c>
      <c r="N751" s="29">
        <f ca="1">IFERROR(__xludf.DUMMYFUNCTION("""COMPUTED_VALUE"""),0)</f>
        <v>0</v>
      </c>
    </row>
    <row r="752" spans="2:14" ht="12.5">
      <c r="B752" s="2" t="str">
        <f ca="1">IFERROR(__xludf.DUMMYFUNCTION("""COMPUTED_VALUE"""),"篠山鳳鳴高")</f>
        <v>篠山鳳鳴高</v>
      </c>
      <c r="C752" s="2" t="str">
        <f ca="1">IFERROR(__xludf.DUMMYFUNCTION("""COMPUTED_VALUE"""),"#N/A")</f>
        <v>#N/A</v>
      </c>
      <c r="D752" s="2">
        <f ca="1">IFERROR(__xludf.DUMMYFUNCTION("""COMPUTED_VALUE"""),0)</f>
        <v>0</v>
      </c>
      <c r="E752" s="29">
        <f ca="1">IFERROR(__xludf.DUMMYFUNCTION("""COMPUTED_VALUE"""),0)</f>
        <v>0</v>
      </c>
      <c r="F752" s="30">
        <f ca="1">IFERROR(__xludf.DUMMYFUNCTION("""COMPUTED_VALUE"""),0)</f>
        <v>0</v>
      </c>
      <c r="G752" s="29">
        <f ca="1">IFERROR(__xludf.DUMMYFUNCTION("""COMPUTED_VALUE"""),0)</f>
        <v>0</v>
      </c>
      <c r="H752" s="30">
        <f ca="1">IFERROR(__xludf.DUMMYFUNCTION("""COMPUTED_VALUE"""),0)</f>
        <v>0</v>
      </c>
      <c r="I752" s="29">
        <f ca="1">IFERROR(__xludf.DUMMYFUNCTION("""COMPUTED_VALUE"""),2000)</f>
        <v>2000</v>
      </c>
      <c r="J752" s="29">
        <f ca="1">IFERROR(__xludf.DUMMYFUNCTION("""COMPUTED_VALUE"""),1)</f>
        <v>1</v>
      </c>
      <c r="K752" s="29">
        <f ca="1">IFERROR(__xludf.DUMMYFUNCTION("""COMPUTED_VALUE"""),0)</f>
        <v>0</v>
      </c>
      <c r="L752" s="29">
        <f ca="1">IFERROR(__xludf.DUMMYFUNCTION("""COMPUTED_VALUE"""),0)</f>
        <v>0</v>
      </c>
      <c r="M752" s="29">
        <f ca="1">IFERROR(__xludf.DUMMYFUNCTION("""COMPUTED_VALUE"""),0)</f>
        <v>0</v>
      </c>
      <c r="N752" s="29">
        <f ca="1">IFERROR(__xludf.DUMMYFUNCTION("""COMPUTED_VALUE"""),0)</f>
        <v>0</v>
      </c>
    </row>
    <row r="753" spans="2:14" ht="12.5">
      <c r="B753" s="2" t="str">
        <f ca="1">IFERROR(__xludf.DUMMYFUNCTION("""COMPUTED_VALUE"""),"松山東雲高")</f>
        <v>松山東雲高</v>
      </c>
      <c r="C753" s="2" t="str">
        <f ca="1">IFERROR(__xludf.DUMMYFUNCTION("""COMPUTED_VALUE"""),"#N/A")</f>
        <v>#N/A</v>
      </c>
      <c r="D753" s="2">
        <f ca="1">IFERROR(__xludf.DUMMYFUNCTION("""COMPUTED_VALUE"""),0)</f>
        <v>0</v>
      </c>
      <c r="E753" s="29">
        <f ca="1">IFERROR(__xludf.DUMMYFUNCTION("""COMPUTED_VALUE"""),0)</f>
        <v>0</v>
      </c>
      <c r="F753" s="30">
        <f ca="1">IFERROR(__xludf.DUMMYFUNCTION("""COMPUTED_VALUE"""),0)</f>
        <v>0</v>
      </c>
      <c r="G753" s="29">
        <f ca="1">IFERROR(__xludf.DUMMYFUNCTION("""COMPUTED_VALUE"""),0)</f>
        <v>0</v>
      </c>
      <c r="H753" s="30">
        <f ca="1">IFERROR(__xludf.DUMMYFUNCTION("""COMPUTED_VALUE"""),0)</f>
        <v>0</v>
      </c>
      <c r="I753" s="29">
        <f ca="1">IFERROR(__xludf.DUMMYFUNCTION("""COMPUTED_VALUE"""),2000)</f>
        <v>2000</v>
      </c>
      <c r="J753" s="29">
        <f ca="1">IFERROR(__xludf.DUMMYFUNCTION("""COMPUTED_VALUE"""),1)</f>
        <v>1</v>
      </c>
      <c r="K753" s="29">
        <f ca="1">IFERROR(__xludf.DUMMYFUNCTION("""COMPUTED_VALUE"""),0)</f>
        <v>0</v>
      </c>
      <c r="L753" s="29">
        <f ca="1">IFERROR(__xludf.DUMMYFUNCTION("""COMPUTED_VALUE"""),0)</f>
        <v>0</v>
      </c>
      <c r="M753" s="29">
        <f ca="1">IFERROR(__xludf.DUMMYFUNCTION("""COMPUTED_VALUE"""),0)</f>
        <v>0</v>
      </c>
      <c r="N753" s="29">
        <f ca="1">IFERROR(__xludf.DUMMYFUNCTION("""COMPUTED_VALUE"""),0)</f>
        <v>0</v>
      </c>
    </row>
    <row r="754" spans="2:14" ht="12.5">
      <c r="B754" s="2" t="str">
        <f ca="1">IFERROR(__xludf.DUMMYFUNCTION("""COMPUTED_VALUE"""),"市立太田高")</f>
        <v>市立太田高</v>
      </c>
      <c r="C754" s="2" t="str">
        <f ca="1">IFERROR(__xludf.DUMMYFUNCTION("""COMPUTED_VALUE"""),"#N/A")</f>
        <v>#N/A</v>
      </c>
      <c r="D754" s="2">
        <f ca="1">IFERROR(__xludf.DUMMYFUNCTION("""COMPUTED_VALUE"""),0)</f>
        <v>0</v>
      </c>
      <c r="E754" s="29">
        <f ca="1">IFERROR(__xludf.DUMMYFUNCTION("""COMPUTED_VALUE"""),0)</f>
        <v>0</v>
      </c>
      <c r="F754" s="30">
        <f ca="1">IFERROR(__xludf.DUMMYFUNCTION("""COMPUTED_VALUE"""),0)</f>
        <v>0</v>
      </c>
      <c r="G754" s="29">
        <f ca="1">IFERROR(__xludf.DUMMYFUNCTION("""COMPUTED_VALUE"""),0)</f>
        <v>0</v>
      </c>
      <c r="H754" s="30">
        <f ca="1">IFERROR(__xludf.DUMMYFUNCTION("""COMPUTED_VALUE"""),0)</f>
        <v>0</v>
      </c>
      <c r="I754" s="29">
        <f ca="1">IFERROR(__xludf.DUMMYFUNCTION("""COMPUTED_VALUE"""),4000)</f>
        <v>4000</v>
      </c>
      <c r="J754" s="29">
        <f ca="1">IFERROR(__xludf.DUMMYFUNCTION("""COMPUTED_VALUE"""),2)</f>
        <v>2</v>
      </c>
      <c r="K754" s="29">
        <f ca="1">IFERROR(__xludf.DUMMYFUNCTION("""COMPUTED_VALUE"""),2000)</f>
        <v>2000</v>
      </c>
      <c r="L754" s="29">
        <f ca="1">IFERROR(__xludf.DUMMYFUNCTION("""COMPUTED_VALUE"""),1)</f>
        <v>1</v>
      </c>
      <c r="M754" s="29">
        <f ca="1">IFERROR(__xludf.DUMMYFUNCTION("""COMPUTED_VALUE"""),0)</f>
        <v>0</v>
      </c>
      <c r="N754" s="29">
        <f ca="1">IFERROR(__xludf.DUMMYFUNCTION("""COMPUTED_VALUE"""),0)</f>
        <v>0</v>
      </c>
    </row>
    <row r="755" spans="2:14" ht="12.5">
      <c r="B755" s="2" t="str">
        <f ca="1">IFERROR(__xludf.DUMMYFUNCTION("""COMPUTED_VALUE"""),"細田学園高")</f>
        <v>細田学園高</v>
      </c>
      <c r="C755" s="2" t="str">
        <f ca="1">IFERROR(__xludf.DUMMYFUNCTION("""COMPUTED_VALUE"""),"#N/A")</f>
        <v>#N/A</v>
      </c>
      <c r="D755" s="2">
        <f ca="1">IFERROR(__xludf.DUMMYFUNCTION("""COMPUTED_VALUE"""),0)</f>
        <v>0</v>
      </c>
      <c r="E755" s="29">
        <f ca="1">IFERROR(__xludf.DUMMYFUNCTION("""COMPUTED_VALUE"""),0)</f>
        <v>0</v>
      </c>
      <c r="F755" s="30">
        <f ca="1">IFERROR(__xludf.DUMMYFUNCTION("""COMPUTED_VALUE"""),0)</f>
        <v>0</v>
      </c>
      <c r="G755" s="29">
        <f ca="1">IFERROR(__xludf.DUMMYFUNCTION("""COMPUTED_VALUE"""),0)</f>
        <v>0</v>
      </c>
      <c r="H755" s="30">
        <f ca="1">IFERROR(__xludf.DUMMYFUNCTION("""COMPUTED_VALUE"""),0)</f>
        <v>0</v>
      </c>
      <c r="I755" s="29">
        <f ca="1">IFERROR(__xludf.DUMMYFUNCTION("""COMPUTED_VALUE"""),2000)</f>
        <v>2000</v>
      </c>
      <c r="J755" s="29">
        <f ca="1">IFERROR(__xludf.DUMMYFUNCTION("""COMPUTED_VALUE"""),1)</f>
        <v>1</v>
      </c>
      <c r="K755" s="29">
        <f ca="1">IFERROR(__xludf.DUMMYFUNCTION("""COMPUTED_VALUE"""),4000)</f>
        <v>4000</v>
      </c>
      <c r="L755" s="29">
        <f ca="1">IFERROR(__xludf.DUMMYFUNCTION("""COMPUTED_VALUE"""),2)</f>
        <v>2</v>
      </c>
      <c r="M755" s="29">
        <f ca="1">IFERROR(__xludf.DUMMYFUNCTION("""COMPUTED_VALUE"""),0)</f>
        <v>0</v>
      </c>
      <c r="N755" s="29">
        <f ca="1">IFERROR(__xludf.DUMMYFUNCTION("""COMPUTED_VALUE"""),0)</f>
        <v>0</v>
      </c>
    </row>
    <row r="756" spans="2:14" ht="12.5">
      <c r="B756" s="2" t="str">
        <f ca="1">IFERROR(__xludf.DUMMYFUNCTION("""COMPUTED_VALUE"""),"土佐高")</f>
        <v>土佐高</v>
      </c>
      <c r="C756" s="2" t="str">
        <f ca="1">IFERROR(__xludf.DUMMYFUNCTION("""COMPUTED_VALUE"""),"#N/A")</f>
        <v>#N/A</v>
      </c>
      <c r="D756" s="2">
        <f ca="1">IFERROR(__xludf.DUMMYFUNCTION("""COMPUTED_VALUE"""),0)</f>
        <v>0</v>
      </c>
      <c r="E756" s="29">
        <f ca="1">IFERROR(__xludf.DUMMYFUNCTION("""COMPUTED_VALUE"""),0)</f>
        <v>0</v>
      </c>
      <c r="F756" s="30">
        <f ca="1">IFERROR(__xludf.DUMMYFUNCTION("""COMPUTED_VALUE"""),0)</f>
        <v>0</v>
      </c>
      <c r="G756" s="29">
        <f ca="1">IFERROR(__xludf.DUMMYFUNCTION("""COMPUTED_VALUE"""),0)</f>
        <v>0</v>
      </c>
      <c r="H756" s="30">
        <f ca="1">IFERROR(__xludf.DUMMYFUNCTION("""COMPUTED_VALUE"""),0)</f>
        <v>0</v>
      </c>
      <c r="I756" s="29">
        <f ca="1">IFERROR(__xludf.DUMMYFUNCTION("""COMPUTED_VALUE"""),6000)</f>
        <v>6000</v>
      </c>
      <c r="J756" s="29">
        <f ca="1">IFERROR(__xludf.DUMMYFUNCTION("""COMPUTED_VALUE"""),3)</f>
        <v>3</v>
      </c>
      <c r="K756" s="29">
        <f ca="1">IFERROR(__xludf.DUMMYFUNCTION("""COMPUTED_VALUE"""),6000)</f>
        <v>6000</v>
      </c>
      <c r="L756" s="29">
        <f ca="1">IFERROR(__xludf.DUMMYFUNCTION("""COMPUTED_VALUE"""),3)</f>
        <v>3</v>
      </c>
      <c r="M756" s="29">
        <f ca="1">IFERROR(__xludf.DUMMYFUNCTION("""COMPUTED_VALUE"""),0)</f>
        <v>0</v>
      </c>
      <c r="N756" s="29">
        <f ca="1">IFERROR(__xludf.DUMMYFUNCTION("""COMPUTED_VALUE"""),0)</f>
        <v>0</v>
      </c>
    </row>
    <row r="757" spans="2:14" ht="12.5">
      <c r="B757" s="2" t="str">
        <f ca="1">IFERROR(__xludf.DUMMYFUNCTION("""COMPUTED_VALUE"""),"津西高")</f>
        <v>津西高</v>
      </c>
      <c r="C757" s="2" t="str">
        <f ca="1">IFERROR(__xludf.DUMMYFUNCTION("""COMPUTED_VALUE"""),"#N/A")</f>
        <v>#N/A</v>
      </c>
      <c r="D757" s="2">
        <f ca="1">IFERROR(__xludf.DUMMYFUNCTION("""COMPUTED_VALUE"""),0)</f>
        <v>0</v>
      </c>
      <c r="E757" s="29">
        <f ca="1">IFERROR(__xludf.DUMMYFUNCTION("""COMPUTED_VALUE"""),0)</f>
        <v>0</v>
      </c>
      <c r="F757" s="30">
        <f ca="1">IFERROR(__xludf.DUMMYFUNCTION("""COMPUTED_VALUE"""),0)</f>
        <v>0</v>
      </c>
      <c r="G757" s="29">
        <f ca="1">IFERROR(__xludf.DUMMYFUNCTION("""COMPUTED_VALUE"""),0)</f>
        <v>0</v>
      </c>
      <c r="H757" s="30">
        <f ca="1">IFERROR(__xludf.DUMMYFUNCTION("""COMPUTED_VALUE"""),0)</f>
        <v>0</v>
      </c>
      <c r="I757" s="29">
        <f ca="1">IFERROR(__xludf.DUMMYFUNCTION("""COMPUTED_VALUE"""),2000)</f>
        <v>2000</v>
      </c>
      <c r="J757" s="29">
        <f ca="1">IFERROR(__xludf.DUMMYFUNCTION("""COMPUTED_VALUE"""),1)</f>
        <v>1</v>
      </c>
      <c r="K757" s="29">
        <f ca="1">IFERROR(__xludf.DUMMYFUNCTION("""COMPUTED_VALUE"""),0)</f>
        <v>0</v>
      </c>
      <c r="L757" s="29">
        <f ca="1">IFERROR(__xludf.DUMMYFUNCTION("""COMPUTED_VALUE"""),0)</f>
        <v>0</v>
      </c>
      <c r="M757" s="29">
        <f ca="1">IFERROR(__xludf.DUMMYFUNCTION("""COMPUTED_VALUE"""),0)</f>
        <v>0</v>
      </c>
      <c r="N757" s="29">
        <f ca="1">IFERROR(__xludf.DUMMYFUNCTION("""COMPUTED_VALUE"""),0)</f>
        <v>0</v>
      </c>
    </row>
    <row r="758" spans="2:14" ht="12.5">
      <c r="B758" s="2" t="str">
        <f ca="1">IFERROR(__xludf.DUMMYFUNCTION("""COMPUTED_VALUE"""),"高津高")</f>
        <v>高津高</v>
      </c>
      <c r="C758" s="2" t="str">
        <f ca="1">IFERROR(__xludf.DUMMYFUNCTION("""COMPUTED_VALUE"""),"#N/A")</f>
        <v>#N/A</v>
      </c>
      <c r="D758" s="2">
        <f ca="1">IFERROR(__xludf.DUMMYFUNCTION("""COMPUTED_VALUE"""),0)</f>
        <v>0</v>
      </c>
      <c r="E758" s="29">
        <f ca="1">IFERROR(__xludf.DUMMYFUNCTION("""COMPUTED_VALUE"""),0)</f>
        <v>0</v>
      </c>
      <c r="F758" s="30">
        <f ca="1">IFERROR(__xludf.DUMMYFUNCTION("""COMPUTED_VALUE"""),0)</f>
        <v>0</v>
      </c>
      <c r="G758" s="29">
        <f ca="1">IFERROR(__xludf.DUMMYFUNCTION("""COMPUTED_VALUE"""),0)</f>
        <v>0</v>
      </c>
      <c r="H758" s="30">
        <f ca="1">IFERROR(__xludf.DUMMYFUNCTION("""COMPUTED_VALUE"""),0)</f>
        <v>0</v>
      </c>
      <c r="I758" s="29">
        <f ca="1">IFERROR(__xludf.DUMMYFUNCTION("""COMPUTED_VALUE"""),8000)</f>
        <v>8000</v>
      </c>
      <c r="J758" s="29">
        <f ca="1">IFERROR(__xludf.DUMMYFUNCTION("""COMPUTED_VALUE"""),4)</f>
        <v>4</v>
      </c>
      <c r="K758" s="29">
        <f ca="1">IFERROR(__xludf.DUMMYFUNCTION("""COMPUTED_VALUE"""),8000)</f>
        <v>8000</v>
      </c>
      <c r="L758" s="29">
        <f ca="1">IFERROR(__xludf.DUMMYFUNCTION("""COMPUTED_VALUE"""),4)</f>
        <v>4</v>
      </c>
      <c r="M758" s="29">
        <f ca="1">IFERROR(__xludf.DUMMYFUNCTION("""COMPUTED_VALUE"""),0)</f>
        <v>0</v>
      </c>
      <c r="N758" s="29">
        <f ca="1">IFERROR(__xludf.DUMMYFUNCTION("""COMPUTED_VALUE"""),0)</f>
        <v>0</v>
      </c>
    </row>
    <row r="759" spans="2:14" ht="12.5">
      <c r="B759" s="2" t="str">
        <f ca="1">IFERROR(__xludf.DUMMYFUNCTION("""COMPUTED_VALUE"""),"鳳高")</f>
        <v>鳳高</v>
      </c>
      <c r="C759" s="2" t="str">
        <f ca="1">IFERROR(__xludf.DUMMYFUNCTION("""COMPUTED_VALUE"""),"#N/A")</f>
        <v>#N/A</v>
      </c>
      <c r="D759" s="2">
        <f ca="1">IFERROR(__xludf.DUMMYFUNCTION("""COMPUTED_VALUE"""),0)</f>
        <v>0</v>
      </c>
      <c r="E759" s="29">
        <f ca="1">IFERROR(__xludf.DUMMYFUNCTION("""COMPUTED_VALUE"""),0)</f>
        <v>0</v>
      </c>
      <c r="F759" s="30">
        <f ca="1">IFERROR(__xludf.DUMMYFUNCTION("""COMPUTED_VALUE"""),0)</f>
        <v>0</v>
      </c>
      <c r="G759" s="29">
        <f ca="1">IFERROR(__xludf.DUMMYFUNCTION("""COMPUTED_VALUE"""),0)</f>
        <v>0</v>
      </c>
      <c r="H759" s="30">
        <f ca="1">IFERROR(__xludf.DUMMYFUNCTION("""COMPUTED_VALUE"""),0)</f>
        <v>0</v>
      </c>
      <c r="I759" s="29">
        <f ca="1">IFERROR(__xludf.DUMMYFUNCTION("""COMPUTED_VALUE"""),2000)</f>
        <v>2000</v>
      </c>
      <c r="J759" s="29">
        <f ca="1">IFERROR(__xludf.DUMMYFUNCTION("""COMPUTED_VALUE"""),1)</f>
        <v>1</v>
      </c>
      <c r="K759" s="29">
        <f ca="1">IFERROR(__xludf.DUMMYFUNCTION("""COMPUTED_VALUE"""),0)</f>
        <v>0</v>
      </c>
      <c r="L759" s="29">
        <f ca="1">IFERROR(__xludf.DUMMYFUNCTION("""COMPUTED_VALUE"""),0)</f>
        <v>0</v>
      </c>
      <c r="M759" s="29">
        <f ca="1">IFERROR(__xludf.DUMMYFUNCTION("""COMPUTED_VALUE"""),0)</f>
        <v>0</v>
      </c>
      <c r="N759" s="29">
        <f ca="1">IFERROR(__xludf.DUMMYFUNCTION("""COMPUTED_VALUE"""),0)</f>
        <v>0</v>
      </c>
    </row>
    <row r="760" spans="2:14" ht="12.5">
      <c r="B760" s="2" t="str">
        <f ca="1">IFERROR(__xludf.DUMMYFUNCTION("""COMPUTED_VALUE"""),"Kimbolton")</f>
        <v>Kimbolton</v>
      </c>
      <c r="C760" s="2" t="str">
        <f ca="1">IFERROR(__xludf.DUMMYFUNCTION("""COMPUTED_VALUE"""),"#N/A")</f>
        <v>#N/A</v>
      </c>
      <c r="D760" s="2">
        <f ca="1">IFERROR(__xludf.DUMMYFUNCTION("""COMPUTED_VALUE"""),0)</f>
        <v>0</v>
      </c>
      <c r="E760" s="29">
        <f ca="1">IFERROR(__xludf.DUMMYFUNCTION("""COMPUTED_VALUE"""),0)</f>
        <v>0</v>
      </c>
      <c r="F760" s="30">
        <f ca="1">IFERROR(__xludf.DUMMYFUNCTION("""COMPUTED_VALUE"""),0)</f>
        <v>0</v>
      </c>
      <c r="G760" s="29">
        <f ca="1">IFERROR(__xludf.DUMMYFUNCTION("""COMPUTED_VALUE"""),0)</f>
        <v>0</v>
      </c>
      <c r="H760" s="30">
        <f ca="1">IFERROR(__xludf.DUMMYFUNCTION("""COMPUTED_VALUE"""),0)</f>
        <v>0</v>
      </c>
      <c r="I760" s="29">
        <f ca="1">IFERROR(__xludf.DUMMYFUNCTION("""COMPUTED_VALUE"""),2000)</f>
        <v>2000</v>
      </c>
      <c r="J760" s="29">
        <f ca="1">IFERROR(__xludf.DUMMYFUNCTION("""COMPUTED_VALUE"""),1)</f>
        <v>1</v>
      </c>
      <c r="K760" s="29">
        <f ca="1">IFERROR(__xludf.DUMMYFUNCTION("""COMPUTED_VALUE"""),0)</f>
        <v>0</v>
      </c>
      <c r="L760" s="29">
        <f ca="1">IFERROR(__xludf.DUMMYFUNCTION("""COMPUTED_VALUE"""),0)</f>
        <v>0</v>
      </c>
      <c r="M760" s="29">
        <f ca="1">IFERROR(__xludf.DUMMYFUNCTION("""COMPUTED_VALUE"""),0)</f>
        <v>0</v>
      </c>
      <c r="N760" s="29">
        <f ca="1">IFERROR(__xludf.DUMMYFUNCTION("""COMPUTED_VALUE"""),0)</f>
        <v>0</v>
      </c>
    </row>
    <row r="761" spans="2:14" ht="12.5">
      <c r="B761" s="2" t="str">
        <f ca="1">IFERROR(__xludf.DUMMYFUNCTION("""COMPUTED_VALUE"""),"東京農大二高")</f>
        <v>東京農大二高</v>
      </c>
      <c r="C761" s="2" t="str">
        <f ca="1">IFERROR(__xludf.DUMMYFUNCTION("""COMPUTED_VALUE"""),"#N/A")</f>
        <v>#N/A</v>
      </c>
      <c r="D761" s="2">
        <f ca="1">IFERROR(__xludf.DUMMYFUNCTION("""COMPUTED_VALUE"""),0)</f>
        <v>0</v>
      </c>
      <c r="E761" s="29">
        <f ca="1">IFERROR(__xludf.DUMMYFUNCTION("""COMPUTED_VALUE"""),0)</f>
        <v>0</v>
      </c>
      <c r="F761" s="30">
        <f ca="1">IFERROR(__xludf.DUMMYFUNCTION("""COMPUTED_VALUE"""),0)</f>
        <v>0</v>
      </c>
      <c r="G761" s="29">
        <f ca="1">IFERROR(__xludf.DUMMYFUNCTION("""COMPUTED_VALUE"""),0)</f>
        <v>0</v>
      </c>
      <c r="H761" s="30">
        <f ca="1">IFERROR(__xludf.DUMMYFUNCTION("""COMPUTED_VALUE"""),0)</f>
        <v>0</v>
      </c>
      <c r="I761" s="29">
        <f ca="1">IFERROR(__xludf.DUMMYFUNCTION("""COMPUTED_VALUE"""),2000)</f>
        <v>2000</v>
      </c>
      <c r="J761" s="29">
        <f ca="1">IFERROR(__xludf.DUMMYFUNCTION("""COMPUTED_VALUE"""),1)</f>
        <v>1</v>
      </c>
      <c r="K761" s="29">
        <f ca="1">IFERROR(__xludf.DUMMYFUNCTION("""COMPUTED_VALUE"""),2000)</f>
        <v>2000</v>
      </c>
      <c r="L761" s="29">
        <f ca="1">IFERROR(__xludf.DUMMYFUNCTION("""COMPUTED_VALUE"""),1)</f>
        <v>1</v>
      </c>
      <c r="M761" s="29">
        <f ca="1">IFERROR(__xludf.DUMMYFUNCTION("""COMPUTED_VALUE"""),0)</f>
        <v>0</v>
      </c>
      <c r="N761" s="29">
        <f ca="1">IFERROR(__xludf.DUMMYFUNCTION("""COMPUTED_VALUE"""),0)</f>
        <v>0</v>
      </c>
    </row>
    <row r="762" spans="2:14" ht="12.5">
      <c r="B762" s="2" t="str">
        <f ca="1">IFERROR(__xludf.DUMMYFUNCTION("""COMPUTED_VALUE"""),"藤島高")</f>
        <v>藤島高</v>
      </c>
      <c r="C762" s="2" t="str">
        <f ca="1">IFERROR(__xludf.DUMMYFUNCTION("""COMPUTED_VALUE"""),"#N/A")</f>
        <v>#N/A</v>
      </c>
      <c r="D762" s="2">
        <f ca="1">IFERROR(__xludf.DUMMYFUNCTION("""COMPUTED_VALUE"""),0)</f>
        <v>0</v>
      </c>
      <c r="E762" s="29">
        <f ca="1">IFERROR(__xludf.DUMMYFUNCTION("""COMPUTED_VALUE"""),0)</f>
        <v>0</v>
      </c>
      <c r="F762" s="30">
        <f ca="1">IFERROR(__xludf.DUMMYFUNCTION("""COMPUTED_VALUE"""),0)</f>
        <v>0</v>
      </c>
      <c r="G762" s="29">
        <f ca="1">IFERROR(__xludf.DUMMYFUNCTION("""COMPUTED_VALUE"""),0)</f>
        <v>0</v>
      </c>
      <c r="H762" s="30">
        <f ca="1">IFERROR(__xludf.DUMMYFUNCTION("""COMPUTED_VALUE"""),0)</f>
        <v>0</v>
      </c>
      <c r="I762" s="29">
        <f ca="1">IFERROR(__xludf.DUMMYFUNCTION("""COMPUTED_VALUE"""),2000)</f>
        <v>2000</v>
      </c>
      <c r="J762" s="29">
        <f ca="1">IFERROR(__xludf.DUMMYFUNCTION("""COMPUTED_VALUE"""),1)</f>
        <v>1</v>
      </c>
      <c r="K762" s="29">
        <f ca="1">IFERROR(__xludf.DUMMYFUNCTION("""COMPUTED_VALUE"""),0)</f>
        <v>0</v>
      </c>
      <c r="L762" s="29">
        <f ca="1">IFERROR(__xludf.DUMMYFUNCTION("""COMPUTED_VALUE"""),0)</f>
        <v>0</v>
      </c>
      <c r="M762" s="29">
        <f ca="1">IFERROR(__xludf.DUMMYFUNCTION("""COMPUTED_VALUE"""),0)</f>
        <v>0</v>
      </c>
      <c r="N762" s="29">
        <f ca="1">IFERROR(__xludf.DUMMYFUNCTION("""COMPUTED_VALUE"""),0)</f>
        <v>0</v>
      </c>
    </row>
    <row r="763" spans="2:14" ht="12.5">
      <c r="B763" s="2" t="str">
        <f ca="1">IFERROR(__xludf.DUMMYFUNCTION("""COMPUTED_VALUE"""),"市立長野高")</f>
        <v>市立長野高</v>
      </c>
      <c r="C763" s="2" t="str">
        <f ca="1">IFERROR(__xludf.DUMMYFUNCTION("""COMPUTED_VALUE"""),"#N/A")</f>
        <v>#N/A</v>
      </c>
      <c r="D763" s="2">
        <f ca="1">IFERROR(__xludf.DUMMYFUNCTION("""COMPUTED_VALUE"""),0)</f>
        <v>0</v>
      </c>
      <c r="E763" s="29">
        <f ca="1">IFERROR(__xludf.DUMMYFUNCTION("""COMPUTED_VALUE"""),0)</f>
        <v>0</v>
      </c>
      <c r="F763" s="30">
        <f ca="1">IFERROR(__xludf.DUMMYFUNCTION("""COMPUTED_VALUE"""),0)</f>
        <v>0</v>
      </c>
      <c r="G763" s="29">
        <f ca="1">IFERROR(__xludf.DUMMYFUNCTION("""COMPUTED_VALUE"""),0)</f>
        <v>0</v>
      </c>
      <c r="H763" s="30">
        <f ca="1">IFERROR(__xludf.DUMMYFUNCTION("""COMPUTED_VALUE"""),0)</f>
        <v>0</v>
      </c>
      <c r="I763" s="29">
        <f ca="1">IFERROR(__xludf.DUMMYFUNCTION("""COMPUTED_VALUE"""),2000)</f>
        <v>2000</v>
      </c>
      <c r="J763" s="29">
        <f ca="1">IFERROR(__xludf.DUMMYFUNCTION("""COMPUTED_VALUE"""),1)</f>
        <v>1</v>
      </c>
      <c r="K763" s="29">
        <f ca="1">IFERROR(__xludf.DUMMYFUNCTION("""COMPUTED_VALUE"""),0)</f>
        <v>0</v>
      </c>
      <c r="L763" s="29">
        <f ca="1">IFERROR(__xludf.DUMMYFUNCTION("""COMPUTED_VALUE"""),0)</f>
        <v>0</v>
      </c>
      <c r="M763" s="29">
        <f ca="1">IFERROR(__xludf.DUMMYFUNCTION("""COMPUTED_VALUE"""),0)</f>
        <v>0</v>
      </c>
      <c r="N763" s="29">
        <f ca="1">IFERROR(__xludf.DUMMYFUNCTION("""COMPUTED_VALUE"""),0)</f>
        <v>0</v>
      </c>
    </row>
    <row r="764" spans="2:14" ht="12.5">
      <c r="B764" s="2" t="str">
        <f ca="1">IFERROR(__xludf.DUMMYFUNCTION("""COMPUTED_VALUE"""),"同志社高")</f>
        <v>同志社高</v>
      </c>
      <c r="C764" s="2" t="str">
        <f ca="1">IFERROR(__xludf.DUMMYFUNCTION("""COMPUTED_VALUE"""),"#N/A")</f>
        <v>#N/A</v>
      </c>
      <c r="D764" s="2">
        <f ca="1">IFERROR(__xludf.DUMMYFUNCTION("""COMPUTED_VALUE"""),0)</f>
        <v>0</v>
      </c>
      <c r="E764" s="29">
        <f ca="1">IFERROR(__xludf.DUMMYFUNCTION("""COMPUTED_VALUE"""),0)</f>
        <v>0</v>
      </c>
      <c r="F764" s="30">
        <f ca="1">IFERROR(__xludf.DUMMYFUNCTION("""COMPUTED_VALUE"""),0)</f>
        <v>0</v>
      </c>
      <c r="G764" s="29">
        <f ca="1">IFERROR(__xludf.DUMMYFUNCTION("""COMPUTED_VALUE"""),0)</f>
        <v>0</v>
      </c>
      <c r="H764" s="30">
        <f ca="1">IFERROR(__xludf.DUMMYFUNCTION("""COMPUTED_VALUE"""),0)</f>
        <v>0</v>
      </c>
      <c r="I764" s="29">
        <f ca="1">IFERROR(__xludf.DUMMYFUNCTION("""COMPUTED_VALUE"""),2000)</f>
        <v>2000</v>
      </c>
      <c r="J764" s="29">
        <f ca="1">IFERROR(__xludf.DUMMYFUNCTION("""COMPUTED_VALUE"""),1)</f>
        <v>1</v>
      </c>
      <c r="K764" s="29">
        <f ca="1">IFERROR(__xludf.DUMMYFUNCTION("""COMPUTED_VALUE"""),0)</f>
        <v>0</v>
      </c>
      <c r="L764" s="29">
        <f ca="1">IFERROR(__xludf.DUMMYFUNCTION("""COMPUTED_VALUE"""),0)</f>
        <v>0</v>
      </c>
      <c r="M764" s="29">
        <f ca="1">IFERROR(__xludf.DUMMYFUNCTION("""COMPUTED_VALUE"""),0)</f>
        <v>0</v>
      </c>
      <c r="N764" s="29">
        <f ca="1">IFERROR(__xludf.DUMMYFUNCTION("""COMPUTED_VALUE"""),0)</f>
        <v>0</v>
      </c>
    </row>
    <row r="765" spans="2:14" ht="12.5">
      <c r="B765" s="2" t="str">
        <f ca="1">IFERROR(__xludf.DUMMYFUNCTION("""COMPUTED_VALUE"""),"育英西高")</f>
        <v>育英西高</v>
      </c>
      <c r="C765" s="2" t="str">
        <f ca="1">IFERROR(__xludf.DUMMYFUNCTION("""COMPUTED_VALUE"""),"#N/A")</f>
        <v>#N/A</v>
      </c>
      <c r="D765" s="2">
        <f ca="1">IFERROR(__xludf.DUMMYFUNCTION("""COMPUTED_VALUE"""),0)</f>
        <v>0</v>
      </c>
      <c r="E765" s="29">
        <f ca="1">IFERROR(__xludf.DUMMYFUNCTION("""COMPUTED_VALUE"""),0)</f>
        <v>0</v>
      </c>
      <c r="F765" s="30">
        <f ca="1">IFERROR(__xludf.DUMMYFUNCTION("""COMPUTED_VALUE"""),0)</f>
        <v>0</v>
      </c>
      <c r="G765" s="29">
        <f ca="1">IFERROR(__xludf.DUMMYFUNCTION("""COMPUTED_VALUE"""),0)</f>
        <v>0</v>
      </c>
      <c r="H765" s="30">
        <f ca="1">IFERROR(__xludf.DUMMYFUNCTION("""COMPUTED_VALUE"""),0)</f>
        <v>0</v>
      </c>
      <c r="I765" s="29">
        <f ca="1">IFERROR(__xludf.DUMMYFUNCTION("""COMPUTED_VALUE"""),2000)</f>
        <v>2000</v>
      </c>
      <c r="J765" s="29">
        <f ca="1">IFERROR(__xludf.DUMMYFUNCTION("""COMPUTED_VALUE"""),1)</f>
        <v>1</v>
      </c>
      <c r="K765" s="29">
        <f ca="1">IFERROR(__xludf.DUMMYFUNCTION("""COMPUTED_VALUE"""),4000)</f>
        <v>4000</v>
      </c>
      <c r="L765" s="29">
        <f ca="1">IFERROR(__xludf.DUMMYFUNCTION("""COMPUTED_VALUE"""),2)</f>
        <v>2</v>
      </c>
      <c r="M765" s="29">
        <f ca="1">IFERROR(__xludf.DUMMYFUNCTION("""COMPUTED_VALUE"""),0)</f>
        <v>0</v>
      </c>
      <c r="N765" s="29">
        <f ca="1">IFERROR(__xludf.DUMMYFUNCTION("""COMPUTED_VALUE"""),0)</f>
        <v>0</v>
      </c>
    </row>
    <row r="766" spans="2:14" ht="12.5">
      <c r="B766" s="2" t="str">
        <f ca="1">IFERROR(__xludf.DUMMYFUNCTION("""COMPUTED_VALUE"""),"羽黒高")</f>
        <v>羽黒高</v>
      </c>
      <c r="C766" s="2" t="str">
        <f ca="1">IFERROR(__xludf.DUMMYFUNCTION("""COMPUTED_VALUE"""),"#N/A")</f>
        <v>#N/A</v>
      </c>
      <c r="D766" s="2">
        <f ca="1">IFERROR(__xludf.DUMMYFUNCTION("""COMPUTED_VALUE"""),0)</f>
        <v>0</v>
      </c>
      <c r="E766" s="29">
        <f ca="1">IFERROR(__xludf.DUMMYFUNCTION("""COMPUTED_VALUE"""),0)</f>
        <v>0</v>
      </c>
      <c r="F766" s="30">
        <f ca="1">IFERROR(__xludf.DUMMYFUNCTION("""COMPUTED_VALUE"""),0)</f>
        <v>0</v>
      </c>
      <c r="G766" s="29">
        <f ca="1">IFERROR(__xludf.DUMMYFUNCTION("""COMPUTED_VALUE"""),0)</f>
        <v>0</v>
      </c>
      <c r="H766" s="30">
        <f ca="1">IFERROR(__xludf.DUMMYFUNCTION("""COMPUTED_VALUE"""),0)</f>
        <v>0</v>
      </c>
      <c r="I766" s="29">
        <f ca="1">IFERROR(__xludf.DUMMYFUNCTION("""COMPUTED_VALUE"""),4000)</f>
        <v>4000</v>
      </c>
      <c r="J766" s="29">
        <f ca="1">IFERROR(__xludf.DUMMYFUNCTION("""COMPUTED_VALUE"""),2)</f>
        <v>2</v>
      </c>
      <c r="K766" s="29">
        <f ca="1">IFERROR(__xludf.DUMMYFUNCTION("""COMPUTED_VALUE"""),0)</f>
        <v>0</v>
      </c>
      <c r="L766" s="29">
        <f ca="1">IFERROR(__xludf.DUMMYFUNCTION("""COMPUTED_VALUE"""),0)</f>
        <v>0</v>
      </c>
      <c r="M766" s="29">
        <f ca="1">IFERROR(__xludf.DUMMYFUNCTION("""COMPUTED_VALUE"""),0)</f>
        <v>0</v>
      </c>
      <c r="N766" s="29">
        <f ca="1">IFERROR(__xludf.DUMMYFUNCTION("""COMPUTED_VALUE"""),0)</f>
        <v>0</v>
      </c>
    </row>
    <row r="767" spans="2:14" ht="12.5">
      <c r="B767" s="2" t="str">
        <f ca="1">IFERROR(__xludf.DUMMYFUNCTION("""COMPUTED_VALUE"""),"久留米商業高")</f>
        <v>久留米商業高</v>
      </c>
      <c r="C767" s="2" t="str">
        <f ca="1">IFERROR(__xludf.DUMMYFUNCTION("""COMPUTED_VALUE"""),"#N/A")</f>
        <v>#N/A</v>
      </c>
      <c r="D767" s="2">
        <f ca="1">IFERROR(__xludf.DUMMYFUNCTION("""COMPUTED_VALUE"""),0)</f>
        <v>0</v>
      </c>
      <c r="E767" s="29">
        <f ca="1">IFERROR(__xludf.DUMMYFUNCTION("""COMPUTED_VALUE"""),0)</f>
        <v>0</v>
      </c>
      <c r="F767" s="30">
        <f ca="1">IFERROR(__xludf.DUMMYFUNCTION("""COMPUTED_VALUE"""),0)</f>
        <v>0</v>
      </c>
      <c r="G767" s="29">
        <f ca="1">IFERROR(__xludf.DUMMYFUNCTION("""COMPUTED_VALUE"""),0)</f>
        <v>0</v>
      </c>
      <c r="H767" s="30">
        <f ca="1">IFERROR(__xludf.DUMMYFUNCTION("""COMPUTED_VALUE"""),0)</f>
        <v>0</v>
      </c>
      <c r="I767" s="29">
        <f ca="1">IFERROR(__xludf.DUMMYFUNCTION("""COMPUTED_VALUE"""),2000)</f>
        <v>2000</v>
      </c>
      <c r="J767" s="29">
        <f ca="1">IFERROR(__xludf.DUMMYFUNCTION("""COMPUTED_VALUE"""),1)</f>
        <v>1</v>
      </c>
      <c r="K767" s="29">
        <f ca="1">IFERROR(__xludf.DUMMYFUNCTION("""COMPUTED_VALUE"""),0)</f>
        <v>0</v>
      </c>
      <c r="L767" s="29">
        <f ca="1">IFERROR(__xludf.DUMMYFUNCTION("""COMPUTED_VALUE"""),0)</f>
        <v>0</v>
      </c>
      <c r="M767" s="29">
        <f ca="1">IFERROR(__xludf.DUMMYFUNCTION("""COMPUTED_VALUE"""),0)</f>
        <v>0</v>
      </c>
      <c r="N767" s="29">
        <f ca="1">IFERROR(__xludf.DUMMYFUNCTION("""COMPUTED_VALUE"""),0)</f>
        <v>0</v>
      </c>
    </row>
    <row r="768" spans="2:14" ht="12.5">
      <c r="B768" s="2" t="str">
        <f ca="1">IFERROR(__xludf.DUMMYFUNCTION("""COMPUTED_VALUE"""),"成瀬高")</f>
        <v>成瀬高</v>
      </c>
      <c r="C768" s="2" t="str">
        <f ca="1">IFERROR(__xludf.DUMMYFUNCTION("""COMPUTED_VALUE"""),"#N/A")</f>
        <v>#N/A</v>
      </c>
      <c r="D768" s="2">
        <f ca="1">IFERROR(__xludf.DUMMYFUNCTION("""COMPUTED_VALUE"""),0)</f>
        <v>0</v>
      </c>
      <c r="E768" s="29">
        <f ca="1">IFERROR(__xludf.DUMMYFUNCTION("""COMPUTED_VALUE"""),0)</f>
        <v>0</v>
      </c>
      <c r="F768" s="30">
        <f ca="1">IFERROR(__xludf.DUMMYFUNCTION("""COMPUTED_VALUE"""),0)</f>
        <v>0</v>
      </c>
      <c r="G768" s="29">
        <f ca="1">IFERROR(__xludf.DUMMYFUNCTION("""COMPUTED_VALUE"""),0)</f>
        <v>0</v>
      </c>
      <c r="H768" s="30">
        <f ca="1">IFERROR(__xludf.DUMMYFUNCTION("""COMPUTED_VALUE"""),0)</f>
        <v>0</v>
      </c>
      <c r="I768" s="29">
        <f ca="1">IFERROR(__xludf.DUMMYFUNCTION("""COMPUTED_VALUE"""),2000)</f>
        <v>2000</v>
      </c>
      <c r="J768" s="29">
        <f ca="1">IFERROR(__xludf.DUMMYFUNCTION("""COMPUTED_VALUE"""),1)</f>
        <v>1</v>
      </c>
      <c r="K768" s="29">
        <f ca="1">IFERROR(__xludf.DUMMYFUNCTION("""COMPUTED_VALUE"""),6000)</f>
        <v>6000</v>
      </c>
      <c r="L768" s="29">
        <f ca="1">IFERROR(__xludf.DUMMYFUNCTION("""COMPUTED_VALUE"""),3)</f>
        <v>3</v>
      </c>
      <c r="M768" s="29">
        <f ca="1">IFERROR(__xludf.DUMMYFUNCTION("""COMPUTED_VALUE"""),0)</f>
        <v>0</v>
      </c>
      <c r="N768" s="29">
        <f ca="1">IFERROR(__xludf.DUMMYFUNCTION("""COMPUTED_VALUE"""),0)</f>
        <v>0</v>
      </c>
    </row>
    <row r="769" spans="2:14" ht="12.5">
      <c r="B769" s="2" t="str">
        <f ca="1">IFERROR(__xludf.DUMMYFUNCTION("""COMPUTED_VALUE"""),"奈良育英高")</f>
        <v>奈良育英高</v>
      </c>
      <c r="C769" s="2" t="str">
        <f ca="1">IFERROR(__xludf.DUMMYFUNCTION("""COMPUTED_VALUE"""),"#N/A")</f>
        <v>#N/A</v>
      </c>
      <c r="D769" s="2">
        <f ca="1">IFERROR(__xludf.DUMMYFUNCTION("""COMPUTED_VALUE"""),0)</f>
        <v>0</v>
      </c>
      <c r="E769" s="29">
        <f ca="1">IFERROR(__xludf.DUMMYFUNCTION("""COMPUTED_VALUE"""),0)</f>
        <v>0</v>
      </c>
      <c r="F769" s="30">
        <f ca="1">IFERROR(__xludf.DUMMYFUNCTION("""COMPUTED_VALUE"""),0)</f>
        <v>0</v>
      </c>
      <c r="G769" s="29">
        <f ca="1">IFERROR(__xludf.DUMMYFUNCTION("""COMPUTED_VALUE"""),0)</f>
        <v>0</v>
      </c>
      <c r="H769" s="30">
        <f ca="1">IFERROR(__xludf.DUMMYFUNCTION("""COMPUTED_VALUE"""),0)</f>
        <v>0</v>
      </c>
      <c r="I769" s="29">
        <f ca="1">IFERROR(__xludf.DUMMYFUNCTION("""COMPUTED_VALUE"""),2000)</f>
        <v>2000</v>
      </c>
      <c r="J769" s="29">
        <f ca="1">IFERROR(__xludf.DUMMYFUNCTION("""COMPUTED_VALUE"""),1)</f>
        <v>1</v>
      </c>
      <c r="K769" s="29">
        <f ca="1">IFERROR(__xludf.DUMMYFUNCTION("""COMPUTED_VALUE"""),0)</f>
        <v>0</v>
      </c>
      <c r="L769" s="29">
        <f ca="1">IFERROR(__xludf.DUMMYFUNCTION("""COMPUTED_VALUE"""),0)</f>
        <v>0</v>
      </c>
      <c r="M769" s="29">
        <f ca="1">IFERROR(__xludf.DUMMYFUNCTION("""COMPUTED_VALUE"""),0)</f>
        <v>0</v>
      </c>
      <c r="N769" s="29">
        <f ca="1">IFERROR(__xludf.DUMMYFUNCTION("""COMPUTED_VALUE"""),0)</f>
        <v>0</v>
      </c>
    </row>
    <row r="770" spans="2:14" ht="12.5">
      <c r="B770" s="2" t="str">
        <f ca="1">IFERROR(__xludf.DUMMYFUNCTION("""COMPUTED_VALUE"""),"いちりつ高")</f>
        <v>いちりつ高</v>
      </c>
      <c r="C770" s="2" t="str">
        <f ca="1">IFERROR(__xludf.DUMMYFUNCTION("""COMPUTED_VALUE"""),"#N/A")</f>
        <v>#N/A</v>
      </c>
      <c r="D770" s="2">
        <f ca="1">IFERROR(__xludf.DUMMYFUNCTION("""COMPUTED_VALUE"""),0)</f>
        <v>0</v>
      </c>
      <c r="E770" s="29">
        <f ca="1">IFERROR(__xludf.DUMMYFUNCTION("""COMPUTED_VALUE"""),0)</f>
        <v>0</v>
      </c>
      <c r="F770" s="30">
        <f ca="1">IFERROR(__xludf.DUMMYFUNCTION("""COMPUTED_VALUE"""),0)</f>
        <v>0</v>
      </c>
      <c r="G770" s="29">
        <f ca="1">IFERROR(__xludf.DUMMYFUNCTION("""COMPUTED_VALUE"""),0)</f>
        <v>0</v>
      </c>
      <c r="H770" s="30">
        <f ca="1">IFERROR(__xludf.DUMMYFUNCTION("""COMPUTED_VALUE"""),0)</f>
        <v>0</v>
      </c>
      <c r="I770" s="29">
        <f ca="1">IFERROR(__xludf.DUMMYFUNCTION("""COMPUTED_VALUE"""),0)</f>
        <v>0</v>
      </c>
      <c r="J770" s="29">
        <f ca="1">IFERROR(__xludf.DUMMYFUNCTION("""COMPUTED_VALUE"""),0)</f>
        <v>0</v>
      </c>
      <c r="K770" s="29">
        <f ca="1">IFERROR(__xludf.DUMMYFUNCTION("""COMPUTED_VALUE"""),6000)</f>
        <v>6000</v>
      </c>
      <c r="L770" s="29">
        <f ca="1">IFERROR(__xludf.DUMMYFUNCTION("""COMPUTED_VALUE"""),3)</f>
        <v>3</v>
      </c>
      <c r="M770" s="29">
        <f ca="1">IFERROR(__xludf.DUMMYFUNCTION("""COMPUTED_VALUE"""),0)</f>
        <v>0</v>
      </c>
      <c r="N770" s="29">
        <f ca="1">IFERROR(__xludf.DUMMYFUNCTION("""COMPUTED_VALUE"""),0)</f>
        <v>0</v>
      </c>
    </row>
    <row r="771" spans="2:14" ht="12.5">
      <c r="B771" s="2" t="str">
        <f ca="1">IFERROR(__xludf.DUMMYFUNCTION("""COMPUTED_VALUE"""),"須磨学園高")</f>
        <v>須磨学園高</v>
      </c>
      <c r="C771" s="2" t="str">
        <f ca="1">IFERROR(__xludf.DUMMYFUNCTION("""COMPUTED_VALUE"""),"#N/A")</f>
        <v>#N/A</v>
      </c>
      <c r="D771" s="2">
        <f ca="1">IFERROR(__xludf.DUMMYFUNCTION("""COMPUTED_VALUE"""),0)</f>
        <v>0</v>
      </c>
      <c r="E771" s="29">
        <f ca="1">IFERROR(__xludf.DUMMYFUNCTION("""COMPUTED_VALUE"""),0)</f>
        <v>0</v>
      </c>
      <c r="F771" s="30">
        <f ca="1">IFERROR(__xludf.DUMMYFUNCTION("""COMPUTED_VALUE"""),0)</f>
        <v>0</v>
      </c>
      <c r="G771" s="29">
        <f ca="1">IFERROR(__xludf.DUMMYFUNCTION("""COMPUTED_VALUE"""),0)</f>
        <v>0</v>
      </c>
      <c r="H771" s="30">
        <f ca="1">IFERROR(__xludf.DUMMYFUNCTION("""COMPUTED_VALUE"""),0)</f>
        <v>0</v>
      </c>
      <c r="I771" s="29">
        <f ca="1">IFERROR(__xludf.DUMMYFUNCTION("""COMPUTED_VALUE"""),0)</f>
        <v>0</v>
      </c>
      <c r="J771" s="29">
        <f ca="1">IFERROR(__xludf.DUMMYFUNCTION("""COMPUTED_VALUE"""),0)</f>
        <v>0</v>
      </c>
      <c r="K771" s="29">
        <f ca="1">IFERROR(__xludf.DUMMYFUNCTION("""COMPUTED_VALUE"""),6000)</f>
        <v>6000</v>
      </c>
      <c r="L771" s="29">
        <f ca="1">IFERROR(__xludf.DUMMYFUNCTION("""COMPUTED_VALUE"""),3)</f>
        <v>3</v>
      </c>
      <c r="M771" s="29">
        <f ca="1">IFERROR(__xludf.DUMMYFUNCTION("""COMPUTED_VALUE"""),0)</f>
        <v>0</v>
      </c>
      <c r="N771" s="29">
        <f ca="1">IFERROR(__xludf.DUMMYFUNCTION("""COMPUTED_VALUE"""),0)</f>
        <v>0</v>
      </c>
    </row>
    <row r="772" spans="2:14" ht="12.5">
      <c r="B772" s="2" t="str">
        <f ca="1">IFERROR(__xludf.DUMMYFUNCTION("""COMPUTED_VALUE"""),"東福岡高")</f>
        <v>東福岡高</v>
      </c>
      <c r="C772" s="2" t="str">
        <f ca="1">IFERROR(__xludf.DUMMYFUNCTION("""COMPUTED_VALUE"""),"#N/A")</f>
        <v>#N/A</v>
      </c>
      <c r="D772" s="2">
        <f ca="1">IFERROR(__xludf.DUMMYFUNCTION("""COMPUTED_VALUE"""),0)</f>
        <v>0</v>
      </c>
      <c r="E772" s="29">
        <f ca="1">IFERROR(__xludf.DUMMYFUNCTION("""COMPUTED_VALUE"""),0)</f>
        <v>0</v>
      </c>
      <c r="F772" s="30">
        <f ca="1">IFERROR(__xludf.DUMMYFUNCTION("""COMPUTED_VALUE"""),0)</f>
        <v>0</v>
      </c>
      <c r="G772" s="29">
        <f ca="1">IFERROR(__xludf.DUMMYFUNCTION("""COMPUTED_VALUE"""),0)</f>
        <v>0</v>
      </c>
      <c r="H772" s="30">
        <f ca="1">IFERROR(__xludf.DUMMYFUNCTION("""COMPUTED_VALUE"""),0)</f>
        <v>0</v>
      </c>
      <c r="I772" s="29">
        <f ca="1">IFERROR(__xludf.DUMMYFUNCTION("""COMPUTED_VALUE"""),0)</f>
        <v>0</v>
      </c>
      <c r="J772" s="29">
        <f ca="1">IFERROR(__xludf.DUMMYFUNCTION("""COMPUTED_VALUE"""),0)</f>
        <v>0</v>
      </c>
      <c r="K772" s="29">
        <f ca="1">IFERROR(__xludf.DUMMYFUNCTION("""COMPUTED_VALUE"""),2000)</f>
        <v>2000</v>
      </c>
      <c r="L772" s="29">
        <f ca="1">IFERROR(__xludf.DUMMYFUNCTION("""COMPUTED_VALUE"""),1)</f>
        <v>1</v>
      </c>
      <c r="M772" s="29">
        <f ca="1">IFERROR(__xludf.DUMMYFUNCTION("""COMPUTED_VALUE"""),0)</f>
        <v>0</v>
      </c>
      <c r="N772" s="29">
        <f ca="1">IFERROR(__xludf.DUMMYFUNCTION("""COMPUTED_VALUE"""),0)</f>
        <v>0</v>
      </c>
    </row>
    <row r="773" spans="2:14" ht="12.5">
      <c r="B773" s="2" t="str">
        <f ca="1">IFERROR(__xludf.DUMMYFUNCTION("""COMPUTED_VALUE"""),"秋田北高")</f>
        <v>秋田北高</v>
      </c>
      <c r="C773" s="2" t="str">
        <f ca="1">IFERROR(__xludf.DUMMYFUNCTION("""COMPUTED_VALUE"""),"#N/A")</f>
        <v>#N/A</v>
      </c>
      <c r="D773" s="2">
        <f ca="1">IFERROR(__xludf.DUMMYFUNCTION("""COMPUTED_VALUE"""),0)</f>
        <v>0</v>
      </c>
      <c r="E773" s="29">
        <f ca="1">IFERROR(__xludf.DUMMYFUNCTION("""COMPUTED_VALUE"""),0)</f>
        <v>0</v>
      </c>
      <c r="F773" s="30">
        <f ca="1">IFERROR(__xludf.DUMMYFUNCTION("""COMPUTED_VALUE"""),0)</f>
        <v>0</v>
      </c>
      <c r="G773" s="29">
        <f ca="1">IFERROR(__xludf.DUMMYFUNCTION("""COMPUTED_VALUE"""),0)</f>
        <v>0</v>
      </c>
      <c r="H773" s="30">
        <f ca="1">IFERROR(__xludf.DUMMYFUNCTION("""COMPUTED_VALUE"""),0)</f>
        <v>0</v>
      </c>
      <c r="I773" s="29">
        <f ca="1">IFERROR(__xludf.DUMMYFUNCTION("""COMPUTED_VALUE"""),0)</f>
        <v>0</v>
      </c>
      <c r="J773" s="29">
        <f ca="1">IFERROR(__xludf.DUMMYFUNCTION("""COMPUTED_VALUE"""),0)</f>
        <v>0</v>
      </c>
      <c r="K773" s="29">
        <f ca="1">IFERROR(__xludf.DUMMYFUNCTION("""COMPUTED_VALUE"""),2000)</f>
        <v>2000</v>
      </c>
      <c r="L773" s="29">
        <f ca="1">IFERROR(__xludf.DUMMYFUNCTION("""COMPUTED_VALUE"""),1)</f>
        <v>1</v>
      </c>
      <c r="M773" s="29">
        <f ca="1">IFERROR(__xludf.DUMMYFUNCTION("""COMPUTED_VALUE"""),0)</f>
        <v>0</v>
      </c>
      <c r="N773" s="29">
        <f ca="1">IFERROR(__xludf.DUMMYFUNCTION("""COMPUTED_VALUE"""),0)</f>
        <v>0</v>
      </c>
    </row>
    <row r="774" spans="2:14" ht="12.5">
      <c r="B774" s="2" t="str">
        <f ca="1">IFERROR(__xludf.DUMMYFUNCTION("""COMPUTED_VALUE"""),"取手聖徳女子高")</f>
        <v>取手聖徳女子高</v>
      </c>
      <c r="C774" s="2" t="str">
        <f ca="1">IFERROR(__xludf.DUMMYFUNCTION("""COMPUTED_VALUE"""),"#N/A")</f>
        <v>#N/A</v>
      </c>
      <c r="D774" s="2">
        <f ca="1">IFERROR(__xludf.DUMMYFUNCTION("""COMPUTED_VALUE"""),0)</f>
        <v>0</v>
      </c>
      <c r="E774" s="29">
        <f ca="1">IFERROR(__xludf.DUMMYFUNCTION("""COMPUTED_VALUE"""),0)</f>
        <v>0</v>
      </c>
      <c r="F774" s="30">
        <f ca="1">IFERROR(__xludf.DUMMYFUNCTION("""COMPUTED_VALUE"""),0)</f>
        <v>0</v>
      </c>
      <c r="G774" s="29">
        <f ca="1">IFERROR(__xludf.DUMMYFUNCTION("""COMPUTED_VALUE"""),0)</f>
        <v>0</v>
      </c>
      <c r="H774" s="30">
        <f ca="1">IFERROR(__xludf.DUMMYFUNCTION("""COMPUTED_VALUE"""),0)</f>
        <v>0</v>
      </c>
      <c r="I774" s="29">
        <f ca="1">IFERROR(__xludf.DUMMYFUNCTION("""COMPUTED_VALUE"""),0)</f>
        <v>0</v>
      </c>
      <c r="J774" s="29">
        <f ca="1">IFERROR(__xludf.DUMMYFUNCTION("""COMPUTED_VALUE"""),0)</f>
        <v>0</v>
      </c>
      <c r="K774" s="29">
        <f ca="1">IFERROR(__xludf.DUMMYFUNCTION("""COMPUTED_VALUE"""),2000)</f>
        <v>2000</v>
      </c>
      <c r="L774" s="29">
        <f ca="1">IFERROR(__xludf.DUMMYFUNCTION("""COMPUTED_VALUE"""),1)</f>
        <v>1</v>
      </c>
      <c r="M774" s="29">
        <f ca="1">IFERROR(__xludf.DUMMYFUNCTION("""COMPUTED_VALUE"""),0)</f>
        <v>0</v>
      </c>
      <c r="N774" s="29">
        <f ca="1">IFERROR(__xludf.DUMMYFUNCTION("""COMPUTED_VALUE"""),0)</f>
        <v>0</v>
      </c>
    </row>
    <row r="775" spans="2:14" ht="12.5">
      <c r="B775" s="2" t="str">
        <f ca="1">IFERROR(__xludf.DUMMYFUNCTION("""COMPUTED_VALUE"""),"船橋高")</f>
        <v>船橋高</v>
      </c>
      <c r="C775" s="2" t="str">
        <f ca="1">IFERROR(__xludf.DUMMYFUNCTION("""COMPUTED_VALUE"""),"#N/A")</f>
        <v>#N/A</v>
      </c>
      <c r="D775" s="2">
        <f ca="1">IFERROR(__xludf.DUMMYFUNCTION("""COMPUTED_VALUE"""),0)</f>
        <v>0</v>
      </c>
      <c r="E775" s="29">
        <f ca="1">IFERROR(__xludf.DUMMYFUNCTION("""COMPUTED_VALUE"""),0)</f>
        <v>0</v>
      </c>
      <c r="F775" s="30">
        <f ca="1">IFERROR(__xludf.DUMMYFUNCTION("""COMPUTED_VALUE"""),0)</f>
        <v>0</v>
      </c>
      <c r="G775" s="29">
        <f ca="1">IFERROR(__xludf.DUMMYFUNCTION("""COMPUTED_VALUE"""),0)</f>
        <v>0</v>
      </c>
      <c r="H775" s="30">
        <f ca="1">IFERROR(__xludf.DUMMYFUNCTION("""COMPUTED_VALUE"""),0)</f>
        <v>0</v>
      </c>
      <c r="I775" s="29">
        <f ca="1">IFERROR(__xludf.DUMMYFUNCTION("""COMPUTED_VALUE"""),0)</f>
        <v>0</v>
      </c>
      <c r="J775" s="29">
        <f ca="1">IFERROR(__xludf.DUMMYFUNCTION("""COMPUTED_VALUE"""),0)</f>
        <v>0</v>
      </c>
      <c r="K775" s="29">
        <f ca="1">IFERROR(__xludf.DUMMYFUNCTION("""COMPUTED_VALUE"""),2000)</f>
        <v>2000</v>
      </c>
      <c r="L775" s="29">
        <f ca="1">IFERROR(__xludf.DUMMYFUNCTION("""COMPUTED_VALUE"""),1)</f>
        <v>1</v>
      </c>
      <c r="M775" s="29">
        <f ca="1">IFERROR(__xludf.DUMMYFUNCTION("""COMPUTED_VALUE"""),0)</f>
        <v>0</v>
      </c>
      <c r="N775" s="29">
        <f ca="1">IFERROR(__xludf.DUMMYFUNCTION("""COMPUTED_VALUE"""),0)</f>
        <v>0</v>
      </c>
    </row>
    <row r="776" spans="2:14" ht="12.5">
      <c r="B776" s="2" t="str">
        <f ca="1">IFERROR(__xludf.DUMMYFUNCTION("""COMPUTED_VALUE"""),"聖隷クリストファー")</f>
        <v>聖隷クリストファー</v>
      </c>
      <c r="C776" s="2" t="str">
        <f ca="1">IFERROR(__xludf.DUMMYFUNCTION("""COMPUTED_VALUE"""),"#N/A")</f>
        <v>#N/A</v>
      </c>
      <c r="D776" s="2">
        <f ca="1">IFERROR(__xludf.DUMMYFUNCTION("""COMPUTED_VALUE"""),0)</f>
        <v>0</v>
      </c>
      <c r="E776" s="29">
        <f ca="1">IFERROR(__xludf.DUMMYFUNCTION("""COMPUTED_VALUE"""),0)</f>
        <v>0</v>
      </c>
      <c r="F776" s="30">
        <f ca="1">IFERROR(__xludf.DUMMYFUNCTION("""COMPUTED_VALUE"""),0)</f>
        <v>0</v>
      </c>
      <c r="G776" s="29">
        <f ca="1">IFERROR(__xludf.DUMMYFUNCTION("""COMPUTED_VALUE"""),0)</f>
        <v>0</v>
      </c>
      <c r="H776" s="30">
        <f ca="1">IFERROR(__xludf.DUMMYFUNCTION("""COMPUTED_VALUE"""),0)</f>
        <v>0</v>
      </c>
      <c r="I776" s="29">
        <f ca="1">IFERROR(__xludf.DUMMYFUNCTION("""COMPUTED_VALUE"""),0)</f>
        <v>0</v>
      </c>
      <c r="J776" s="29">
        <f ca="1">IFERROR(__xludf.DUMMYFUNCTION("""COMPUTED_VALUE"""),0)</f>
        <v>0</v>
      </c>
      <c r="K776" s="29">
        <f ca="1">IFERROR(__xludf.DUMMYFUNCTION("""COMPUTED_VALUE"""),4000)</f>
        <v>4000</v>
      </c>
      <c r="L776" s="29">
        <f ca="1">IFERROR(__xludf.DUMMYFUNCTION("""COMPUTED_VALUE"""),2)</f>
        <v>2</v>
      </c>
      <c r="M776" s="29">
        <f ca="1">IFERROR(__xludf.DUMMYFUNCTION("""COMPUTED_VALUE"""),0)</f>
        <v>0</v>
      </c>
      <c r="N776" s="29">
        <f ca="1">IFERROR(__xludf.DUMMYFUNCTION("""COMPUTED_VALUE"""),0)</f>
        <v>0</v>
      </c>
    </row>
    <row r="777" spans="2:14" ht="12.5">
      <c r="B777" s="2" t="str">
        <f ca="1">IFERROR(__xludf.DUMMYFUNCTION("""COMPUTED_VALUE"""),"向陽高")</f>
        <v>向陽高</v>
      </c>
      <c r="C777" s="2" t="str">
        <f ca="1">IFERROR(__xludf.DUMMYFUNCTION("""COMPUTED_VALUE"""),"#N/A")</f>
        <v>#N/A</v>
      </c>
      <c r="D777" s="2">
        <f ca="1">IFERROR(__xludf.DUMMYFUNCTION("""COMPUTED_VALUE"""),0)</f>
        <v>0</v>
      </c>
      <c r="E777" s="29">
        <f ca="1">IFERROR(__xludf.DUMMYFUNCTION("""COMPUTED_VALUE"""),0)</f>
        <v>0</v>
      </c>
      <c r="F777" s="30">
        <f ca="1">IFERROR(__xludf.DUMMYFUNCTION("""COMPUTED_VALUE"""),0)</f>
        <v>0</v>
      </c>
      <c r="G777" s="29">
        <f ca="1">IFERROR(__xludf.DUMMYFUNCTION("""COMPUTED_VALUE"""),0)</f>
        <v>0</v>
      </c>
      <c r="H777" s="30">
        <f ca="1">IFERROR(__xludf.DUMMYFUNCTION("""COMPUTED_VALUE"""),0)</f>
        <v>0</v>
      </c>
      <c r="I777" s="29">
        <f ca="1">IFERROR(__xludf.DUMMYFUNCTION("""COMPUTED_VALUE"""),0)</f>
        <v>0</v>
      </c>
      <c r="J777" s="29">
        <f ca="1">IFERROR(__xludf.DUMMYFUNCTION("""COMPUTED_VALUE"""),0)</f>
        <v>0</v>
      </c>
      <c r="K777" s="29">
        <f ca="1">IFERROR(__xludf.DUMMYFUNCTION("""COMPUTED_VALUE"""),6000)</f>
        <v>6000</v>
      </c>
      <c r="L777" s="29">
        <f ca="1">IFERROR(__xludf.DUMMYFUNCTION("""COMPUTED_VALUE"""),3)</f>
        <v>3</v>
      </c>
      <c r="M777" s="29">
        <f ca="1">IFERROR(__xludf.DUMMYFUNCTION("""COMPUTED_VALUE"""),0)</f>
        <v>0</v>
      </c>
      <c r="N777" s="29">
        <f ca="1">IFERROR(__xludf.DUMMYFUNCTION("""COMPUTED_VALUE"""),0)</f>
        <v>0</v>
      </c>
    </row>
    <row r="778" spans="2:14" ht="12.5">
      <c r="B778" s="2" t="str">
        <f ca="1">IFERROR(__xludf.DUMMYFUNCTION("""COMPUTED_VALUE"""),"東葛飾高")</f>
        <v>東葛飾高</v>
      </c>
      <c r="C778" s="2" t="str">
        <f ca="1">IFERROR(__xludf.DUMMYFUNCTION("""COMPUTED_VALUE"""),"#N/A")</f>
        <v>#N/A</v>
      </c>
      <c r="D778" s="2">
        <f ca="1">IFERROR(__xludf.DUMMYFUNCTION("""COMPUTED_VALUE"""),0)</f>
        <v>0</v>
      </c>
      <c r="E778" s="29">
        <f ca="1">IFERROR(__xludf.DUMMYFUNCTION("""COMPUTED_VALUE"""),0)</f>
        <v>0</v>
      </c>
      <c r="F778" s="30">
        <f ca="1">IFERROR(__xludf.DUMMYFUNCTION("""COMPUTED_VALUE"""),0)</f>
        <v>0</v>
      </c>
      <c r="G778" s="29">
        <f ca="1">IFERROR(__xludf.DUMMYFUNCTION("""COMPUTED_VALUE"""),0)</f>
        <v>0</v>
      </c>
      <c r="H778" s="30">
        <f ca="1">IFERROR(__xludf.DUMMYFUNCTION("""COMPUTED_VALUE"""),0)</f>
        <v>0</v>
      </c>
      <c r="I778" s="29">
        <f ca="1">IFERROR(__xludf.DUMMYFUNCTION("""COMPUTED_VALUE"""),0)</f>
        <v>0</v>
      </c>
      <c r="J778" s="29">
        <f ca="1">IFERROR(__xludf.DUMMYFUNCTION("""COMPUTED_VALUE"""),0)</f>
        <v>0</v>
      </c>
      <c r="K778" s="29">
        <f ca="1">IFERROR(__xludf.DUMMYFUNCTION("""COMPUTED_VALUE"""),2000)</f>
        <v>2000</v>
      </c>
      <c r="L778" s="29">
        <f ca="1">IFERROR(__xludf.DUMMYFUNCTION("""COMPUTED_VALUE"""),1)</f>
        <v>1</v>
      </c>
      <c r="M778" s="29">
        <f ca="1">IFERROR(__xludf.DUMMYFUNCTION("""COMPUTED_VALUE"""),0)</f>
        <v>0</v>
      </c>
      <c r="N778" s="29">
        <f ca="1">IFERROR(__xludf.DUMMYFUNCTION("""COMPUTED_VALUE"""),0)</f>
        <v>0</v>
      </c>
    </row>
    <row r="779" spans="2:14" ht="12.5">
      <c r="B779" s="2" t="str">
        <f ca="1">IFERROR(__xludf.DUMMYFUNCTION("""COMPUTED_VALUE"""),"甲陵高")</f>
        <v>甲陵高</v>
      </c>
      <c r="C779" s="2" t="str">
        <f ca="1">IFERROR(__xludf.DUMMYFUNCTION("""COMPUTED_VALUE"""),"#N/A")</f>
        <v>#N/A</v>
      </c>
      <c r="D779" s="2">
        <f ca="1">IFERROR(__xludf.DUMMYFUNCTION("""COMPUTED_VALUE"""),0)</f>
        <v>0</v>
      </c>
      <c r="E779" s="29">
        <f ca="1">IFERROR(__xludf.DUMMYFUNCTION("""COMPUTED_VALUE"""),0)</f>
        <v>0</v>
      </c>
      <c r="F779" s="30">
        <f ca="1">IFERROR(__xludf.DUMMYFUNCTION("""COMPUTED_VALUE"""),0)</f>
        <v>0</v>
      </c>
      <c r="G779" s="29">
        <f ca="1">IFERROR(__xludf.DUMMYFUNCTION("""COMPUTED_VALUE"""),0)</f>
        <v>0</v>
      </c>
      <c r="H779" s="30">
        <f ca="1">IFERROR(__xludf.DUMMYFUNCTION("""COMPUTED_VALUE"""),0)</f>
        <v>0</v>
      </c>
      <c r="I779" s="29">
        <f ca="1">IFERROR(__xludf.DUMMYFUNCTION("""COMPUTED_VALUE"""),0)</f>
        <v>0</v>
      </c>
      <c r="J779" s="29">
        <f ca="1">IFERROR(__xludf.DUMMYFUNCTION("""COMPUTED_VALUE"""),0)</f>
        <v>0</v>
      </c>
      <c r="K779" s="29">
        <f ca="1">IFERROR(__xludf.DUMMYFUNCTION("""COMPUTED_VALUE"""),4000)</f>
        <v>4000</v>
      </c>
      <c r="L779" s="29">
        <f ca="1">IFERROR(__xludf.DUMMYFUNCTION("""COMPUTED_VALUE"""),2)</f>
        <v>2</v>
      </c>
      <c r="M779" s="29">
        <f ca="1">IFERROR(__xludf.DUMMYFUNCTION("""COMPUTED_VALUE"""),0)</f>
        <v>0</v>
      </c>
      <c r="N779" s="29">
        <f ca="1">IFERROR(__xludf.DUMMYFUNCTION("""COMPUTED_VALUE"""),0)</f>
        <v>0</v>
      </c>
    </row>
    <row r="780" spans="2:14" ht="12.5">
      <c r="B780" s="2" t="str">
        <f ca="1">IFERROR(__xludf.DUMMYFUNCTION("""COMPUTED_VALUE"""),"暁高")</f>
        <v>暁高</v>
      </c>
      <c r="C780" s="2" t="str">
        <f ca="1">IFERROR(__xludf.DUMMYFUNCTION("""COMPUTED_VALUE"""),"#N/A")</f>
        <v>#N/A</v>
      </c>
      <c r="D780" s="2">
        <f ca="1">IFERROR(__xludf.DUMMYFUNCTION("""COMPUTED_VALUE"""),0)</f>
        <v>0</v>
      </c>
      <c r="E780" s="29">
        <f ca="1">IFERROR(__xludf.DUMMYFUNCTION("""COMPUTED_VALUE"""),0)</f>
        <v>0</v>
      </c>
      <c r="F780" s="30">
        <f ca="1">IFERROR(__xludf.DUMMYFUNCTION("""COMPUTED_VALUE"""),0)</f>
        <v>0</v>
      </c>
      <c r="G780" s="29">
        <f ca="1">IFERROR(__xludf.DUMMYFUNCTION("""COMPUTED_VALUE"""),0)</f>
        <v>0</v>
      </c>
      <c r="H780" s="30">
        <f ca="1">IFERROR(__xludf.DUMMYFUNCTION("""COMPUTED_VALUE"""),0)</f>
        <v>0</v>
      </c>
      <c r="I780" s="29">
        <f ca="1">IFERROR(__xludf.DUMMYFUNCTION("""COMPUTED_VALUE"""),0)</f>
        <v>0</v>
      </c>
      <c r="J780" s="29">
        <f ca="1">IFERROR(__xludf.DUMMYFUNCTION("""COMPUTED_VALUE"""),0)</f>
        <v>0</v>
      </c>
      <c r="K780" s="29">
        <f ca="1">IFERROR(__xludf.DUMMYFUNCTION("""COMPUTED_VALUE"""),6000)</f>
        <v>6000</v>
      </c>
      <c r="L780" s="29">
        <f ca="1">IFERROR(__xludf.DUMMYFUNCTION("""COMPUTED_VALUE"""),3)</f>
        <v>3</v>
      </c>
      <c r="M780" s="29">
        <f ca="1">IFERROR(__xludf.DUMMYFUNCTION("""COMPUTED_VALUE"""),0)</f>
        <v>0</v>
      </c>
      <c r="N780" s="29">
        <f ca="1">IFERROR(__xludf.DUMMYFUNCTION("""COMPUTED_VALUE"""),0)</f>
        <v>0</v>
      </c>
    </row>
    <row r="781" spans="2:14" ht="12.5">
      <c r="B781" s="2" t="str">
        <f ca="1">IFERROR(__xludf.DUMMYFUNCTION("""COMPUTED_VALUE"""),"星林高")</f>
        <v>星林高</v>
      </c>
      <c r="C781" s="2" t="str">
        <f ca="1">IFERROR(__xludf.DUMMYFUNCTION("""COMPUTED_VALUE"""),"#N/A")</f>
        <v>#N/A</v>
      </c>
      <c r="D781" s="2">
        <f ca="1">IFERROR(__xludf.DUMMYFUNCTION("""COMPUTED_VALUE"""),0)</f>
        <v>0</v>
      </c>
      <c r="E781" s="29">
        <f ca="1">IFERROR(__xludf.DUMMYFUNCTION("""COMPUTED_VALUE"""),0)</f>
        <v>0</v>
      </c>
      <c r="F781" s="30">
        <f ca="1">IFERROR(__xludf.DUMMYFUNCTION("""COMPUTED_VALUE"""),0)</f>
        <v>0</v>
      </c>
      <c r="G781" s="29">
        <f ca="1">IFERROR(__xludf.DUMMYFUNCTION("""COMPUTED_VALUE"""),0)</f>
        <v>0</v>
      </c>
      <c r="H781" s="30">
        <f ca="1">IFERROR(__xludf.DUMMYFUNCTION("""COMPUTED_VALUE"""),0)</f>
        <v>0</v>
      </c>
      <c r="I781" s="29">
        <f ca="1">IFERROR(__xludf.DUMMYFUNCTION("""COMPUTED_VALUE"""),0)</f>
        <v>0</v>
      </c>
      <c r="J781" s="29">
        <f ca="1">IFERROR(__xludf.DUMMYFUNCTION("""COMPUTED_VALUE"""),0)</f>
        <v>0</v>
      </c>
      <c r="K781" s="29">
        <f ca="1">IFERROR(__xludf.DUMMYFUNCTION("""COMPUTED_VALUE"""),2000)</f>
        <v>2000</v>
      </c>
      <c r="L781" s="29">
        <f ca="1">IFERROR(__xludf.DUMMYFUNCTION("""COMPUTED_VALUE"""),1)</f>
        <v>1</v>
      </c>
      <c r="M781" s="29">
        <f ca="1">IFERROR(__xludf.DUMMYFUNCTION("""COMPUTED_VALUE"""),0)</f>
        <v>0</v>
      </c>
      <c r="N781" s="29">
        <f ca="1">IFERROR(__xludf.DUMMYFUNCTION("""COMPUTED_VALUE"""),0)</f>
        <v>0</v>
      </c>
    </row>
    <row r="782" spans="2:14" ht="12.5">
      <c r="B782" s="2" t="str">
        <f ca="1">IFERROR(__xludf.DUMMYFUNCTION("""COMPUTED_VALUE"""),"人吉高")</f>
        <v>人吉高</v>
      </c>
      <c r="C782" s="2" t="str">
        <f ca="1">IFERROR(__xludf.DUMMYFUNCTION("""COMPUTED_VALUE"""),"#N/A")</f>
        <v>#N/A</v>
      </c>
      <c r="D782" s="2">
        <f ca="1">IFERROR(__xludf.DUMMYFUNCTION("""COMPUTED_VALUE"""),0)</f>
        <v>0</v>
      </c>
      <c r="E782" s="29">
        <f ca="1">IFERROR(__xludf.DUMMYFUNCTION("""COMPUTED_VALUE"""),0)</f>
        <v>0</v>
      </c>
      <c r="F782" s="30">
        <f ca="1">IFERROR(__xludf.DUMMYFUNCTION("""COMPUTED_VALUE"""),0)</f>
        <v>0</v>
      </c>
      <c r="G782" s="29">
        <f ca="1">IFERROR(__xludf.DUMMYFUNCTION("""COMPUTED_VALUE"""),0)</f>
        <v>0</v>
      </c>
      <c r="H782" s="30">
        <f ca="1">IFERROR(__xludf.DUMMYFUNCTION("""COMPUTED_VALUE"""),0)</f>
        <v>0</v>
      </c>
      <c r="I782" s="29">
        <f ca="1">IFERROR(__xludf.DUMMYFUNCTION("""COMPUTED_VALUE"""),0)</f>
        <v>0</v>
      </c>
      <c r="J782" s="29">
        <f ca="1">IFERROR(__xludf.DUMMYFUNCTION("""COMPUTED_VALUE"""),0)</f>
        <v>0</v>
      </c>
      <c r="K782" s="29">
        <f ca="1">IFERROR(__xludf.DUMMYFUNCTION("""COMPUTED_VALUE"""),2000)</f>
        <v>2000</v>
      </c>
      <c r="L782" s="29">
        <f ca="1">IFERROR(__xludf.DUMMYFUNCTION("""COMPUTED_VALUE"""),1)</f>
        <v>1</v>
      </c>
      <c r="M782" s="29">
        <f ca="1">IFERROR(__xludf.DUMMYFUNCTION("""COMPUTED_VALUE"""),0)</f>
        <v>0</v>
      </c>
      <c r="N782" s="29">
        <f ca="1">IFERROR(__xludf.DUMMYFUNCTION("""COMPUTED_VALUE"""),0)</f>
        <v>0</v>
      </c>
    </row>
    <row r="783" spans="2:14" ht="12.5">
      <c r="B783" s="2" t="str">
        <f ca="1">IFERROR(__xludf.DUMMYFUNCTION("""COMPUTED_VALUE"""),"札幌東高")</f>
        <v>札幌東高</v>
      </c>
      <c r="C783" s="2" t="str">
        <f ca="1">IFERROR(__xludf.DUMMYFUNCTION("""COMPUTED_VALUE"""),"#N/A")</f>
        <v>#N/A</v>
      </c>
      <c r="D783" s="2">
        <f ca="1">IFERROR(__xludf.DUMMYFUNCTION("""COMPUTED_VALUE"""),0)</f>
        <v>0</v>
      </c>
      <c r="E783" s="29">
        <f ca="1">IFERROR(__xludf.DUMMYFUNCTION("""COMPUTED_VALUE"""),0)</f>
        <v>0</v>
      </c>
      <c r="F783" s="30">
        <f ca="1">IFERROR(__xludf.DUMMYFUNCTION("""COMPUTED_VALUE"""),0)</f>
        <v>0</v>
      </c>
      <c r="G783" s="29">
        <f ca="1">IFERROR(__xludf.DUMMYFUNCTION("""COMPUTED_VALUE"""),0)</f>
        <v>0</v>
      </c>
      <c r="H783" s="30">
        <f ca="1">IFERROR(__xludf.DUMMYFUNCTION("""COMPUTED_VALUE"""),0)</f>
        <v>0</v>
      </c>
      <c r="I783" s="29">
        <f ca="1">IFERROR(__xludf.DUMMYFUNCTION("""COMPUTED_VALUE"""),0)</f>
        <v>0</v>
      </c>
      <c r="J783" s="29">
        <f ca="1">IFERROR(__xludf.DUMMYFUNCTION("""COMPUTED_VALUE"""),0)</f>
        <v>0</v>
      </c>
      <c r="K783" s="29">
        <f ca="1">IFERROR(__xludf.DUMMYFUNCTION("""COMPUTED_VALUE"""),2000)</f>
        <v>2000</v>
      </c>
      <c r="L783" s="29">
        <f ca="1">IFERROR(__xludf.DUMMYFUNCTION("""COMPUTED_VALUE"""),1)</f>
        <v>1</v>
      </c>
      <c r="M783" s="29">
        <f ca="1">IFERROR(__xludf.DUMMYFUNCTION("""COMPUTED_VALUE"""),0)</f>
        <v>0</v>
      </c>
      <c r="N783" s="29">
        <f ca="1">IFERROR(__xludf.DUMMYFUNCTION("""COMPUTED_VALUE"""),0)</f>
        <v>0</v>
      </c>
    </row>
    <row r="784" spans="2:14" ht="12.5">
      <c r="B784" s="2" t="str">
        <f ca="1">IFERROR(__xludf.DUMMYFUNCTION("""COMPUTED_VALUE"""),"西遠女子学園")</f>
        <v>西遠女子学園</v>
      </c>
      <c r="C784" s="2" t="str">
        <f ca="1">IFERROR(__xludf.DUMMYFUNCTION("""COMPUTED_VALUE"""),"#N/A")</f>
        <v>#N/A</v>
      </c>
      <c r="D784" s="2">
        <f ca="1">IFERROR(__xludf.DUMMYFUNCTION("""COMPUTED_VALUE"""),0)</f>
        <v>0</v>
      </c>
      <c r="E784" s="29">
        <f ca="1">IFERROR(__xludf.DUMMYFUNCTION("""COMPUTED_VALUE"""),0)</f>
        <v>0</v>
      </c>
      <c r="F784" s="30">
        <f ca="1">IFERROR(__xludf.DUMMYFUNCTION("""COMPUTED_VALUE"""),0)</f>
        <v>0</v>
      </c>
      <c r="G784" s="29">
        <f ca="1">IFERROR(__xludf.DUMMYFUNCTION("""COMPUTED_VALUE"""),0)</f>
        <v>0</v>
      </c>
      <c r="H784" s="30">
        <f ca="1">IFERROR(__xludf.DUMMYFUNCTION("""COMPUTED_VALUE"""),0)</f>
        <v>0</v>
      </c>
      <c r="I784" s="29">
        <f ca="1">IFERROR(__xludf.DUMMYFUNCTION("""COMPUTED_VALUE"""),0)</f>
        <v>0</v>
      </c>
      <c r="J784" s="29">
        <f ca="1">IFERROR(__xludf.DUMMYFUNCTION("""COMPUTED_VALUE"""),0)</f>
        <v>0</v>
      </c>
      <c r="K784" s="29">
        <f ca="1">IFERROR(__xludf.DUMMYFUNCTION("""COMPUTED_VALUE"""),6000)</f>
        <v>6000</v>
      </c>
      <c r="L784" s="29">
        <f ca="1">IFERROR(__xludf.DUMMYFUNCTION("""COMPUTED_VALUE"""),3)</f>
        <v>3</v>
      </c>
      <c r="M784" s="29">
        <f ca="1">IFERROR(__xludf.DUMMYFUNCTION("""COMPUTED_VALUE"""),0)</f>
        <v>0</v>
      </c>
      <c r="N784" s="29">
        <f ca="1">IFERROR(__xludf.DUMMYFUNCTION("""COMPUTED_VALUE"""),0)</f>
        <v>0</v>
      </c>
    </row>
    <row r="785" spans="2:14" ht="12.5">
      <c r="B785" s="2" t="str">
        <f ca="1">IFERROR(__xludf.DUMMYFUNCTION("""COMPUTED_VALUE"""),"東海大静岡翔洋高")</f>
        <v>東海大静岡翔洋高</v>
      </c>
      <c r="C785" s="2" t="str">
        <f ca="1">IFERROR(__xludf.DUMMYFUNCTION("""COMPUTED_VALUE"""),"#N/A")</f>
        <v>#N/A</v>
      </c>
      <c r="D785" s="2">
        <f ca="1">IFERROR(__xludf.DUMMYFUNCTION("""COMPUTED_VALUE"""),0)</f>
        <v>0</v>
      </c>
      <c r="E785" s="29">
        <f ca="1">IFERROR(__xludf.DUMMYFUNCTION("""COMPUTED_VALUE"""),0)</f>
        <v>0</v>
      </c>
      <c r="F785" s="30">
        <f ca="1">IFERROR(__xludf.DUMMYFUNCTION("""COMPUTED_VALUE"""),0)</f>
        <v>0</v>
      </c>
      <c r="G785" s="29">
        <f ca="1">IFERROR(__xludf.DUMMYFUNCTION("""COMPUTED_VALUE"""),0)</f>
        <v>0</v>
      </c>
      <c r="H785" s="30">
        <f ca="1">IFERROR(__xludf.DUMMYFUNCTION("""COMPUTED_VALUE"""),0)</f>
        <v>0</v>
      </c>
      <c r="I785" s="29">
        <f ca="1">IFERROR(__xludf.DUMMYFUNCTION("""COMPUTED_VALUE"""),0)</f>
        <v>0</v>
      </c>
      <c r="J785" s="29">
        <f ca="1">IFERROR(__xludf.DUMMYFUNCTION("""COMPUTED_VALUE"""),0)</f>
        <v>0</v>
      </c>
      <c r="K785" s="29">
        <f ca="1">IFERROR(__xludf.DUMMYFUNCTION("""COMPUTED_VALUE"""),2000)</f>
        <v>2000</v>
      </c>
      <c r="L785" s="29">
        <f ca="1">IFERROR(__xludf.DUMMYFUNCTION("""COMPUTED_VALUE"""),1)</f>
        <v>1</v>
      </c>
      <c r="M785" s="29">
        <f ca="1">IFERROR(__xludf.DUMMYFUNCTION("""COMPUTED_VALUE"""),0)</f>
        <v>0</v>
      </c>
      <c r="N785" s="29">
        <f ca="1">IFERROR(__xludf.DUMMYFUNCTION("""COMPUTED_VALUE"""),0)</f>
        <v>0</v>
      </c>
    </row>
    <row r="786" spans="2:14" ht="12.5">
      <c r="B786" s="2" t="str">
        <f ca="1">IFERROR(__xludf.DUMMYFUNCTION("""COMPUTED_VALUE"""),"白陵高")</f>
        <v>白陵高</v>
      </c>
      <c r="C786" s="2" t="str">
        <f ca="1">IFERROR(__xludf.DUMMYFUNCTION("""COMPUTED_VALUE"""),"#N/A")</f>
        <v>#N/A</v>
      </c>
      <c r="D786" s="2">
        <f ca="1">IFERROR(__xludf.DUMMYFUNCTION("""COMPUTED_VALUE"""),0)</f>
        <v>0</v>
      </c>
      <c r="E786" s="29">
        <f ca="1">IFERROR(__xludf.DUMMYFUNCTION("""COMPUTED_VALUE"""),0)</f>
        <v>0</v>
      </c>
      <c r="F786" s="30">
        <f ca="1">IFERROR(__xludf.DUMMYFUNCTION("""COMPUTED_VALUE"""),0)</f>
        <v>0</v>
      </c>
      <c r="G786" s="29">
        <f ca="1">IFERROR(__xludf.DUMMYFUNCTION("""COMPUTED_VALUE"""),0)</f>
        <v>0</v>
      </c>
      <c r="H786" s="30">
        <f ca="1">IFERROR(__xludf.DUMMYFUNCTION("""COMPUTED_VALUE"""),0)</f>
        <v>0</v>
      </c>
      <c r="I786" s="29">
        <f ca="1">IFERROR(__xludf.DUMMYFUNCTION("""COMPUTED_VALUE"""),0)</f>
        <v>0</v>
      </c>
      <c r="J786" s="29">
        <f ca="1">IFERROR(__xludf.DUMMYFUNCTION("""COMPUTED_VALUE"""),0)</f>
        <v>0</v>
      </c>
      <c r="K786" s="29">
        <f ca="1">IFERROR(__xludf.DUMMYFUNCTION("""COMPUTED_VALUE"""),2000)</f>
        <v>2000</v>
      </c>
      <c r="L786" s="29">
        <f ca="1">IFERROR(__xludf.DUMMYFUNCTION("""COMPUTED_VALUE"""),1)</f>
        <v>1</v>
      </c>
      <c r="M786" s="29">
        <f ca="1">IFERROR(__xludf.DUMMYFUNCTION("""COMPUTED_VALUE"""),0)</f>
        <v>0</v>
      </c>
      <c r="N786" s="29">
        <f ca="1">IFERROR(__xludf.DUMMYFUNCTION("""COMPUTED_VALUE"""),0)</f>
        <v>0</v>
      </c>
    </row>
    <row r="787" spans="2:14" ht="12.5">
      <c r="B787" s="2" t="str">
        <f ca="1">IFERROR(__xludf.DUMMYFUNCTION("""COMPUTED_VALUE"""),"神村学園高等部")</f>
        <v>神村学園高等部</v>
      </c>
      <c r="C787" s="2" t="str">
        <f ca="1">IFERROR(__xludf.DUMMYFUNCTION("""COMPUTED_VALUE"""),"#N/A")</f>
        <v>#N/A</v>
      </c>
      <c r="D787" s="2">
        <f ca="1">IFERROR(__xludf.DUMMYFUNCTION("""COMPUTED_VALUE"""),0)</f>
        <v>0</v>
      </c>
      <c r="E787" s="29">
        <f ca="1">IFERROR(__xludf.DUMMYFUNCTION("""COMPUTED_VALUE"""),0)</f>
        <v>0</v>
      </c>
      <c r="F787" s="30">
        <f ca="1">IFERROR(__xludf.DUMMYFUNCTION("""COMPUTED_VALUE"""),0)</f>
        <v>0</v>
      </c>
      <c r="G787" s="29">
        <f ca="1">IFERROR(__xludf.DUMMYFUNCTION("""COMPUTED_VALUE"""),0)</f>
        <v>0</v>
      </c>
      <c r="H787" s="30">
        <f ca="1">IFERROR(__xludf.DUMMYFUNCTION("""COMPUTED_VALUE"""),0)</f>
        <v>0</v>
      </c>
      <c r="I787" s="29">
        <f ca="1">IFERROR(__xludf.DUMMYFUNCTION("""COMPUTED_VALUE"""),0)</f>
        <v>0</v>
      </c>
      <c r="J787" s="29">
        <f ca="1">IFERROR(__xludf.DUMMYFUNCTION("""COMPUTED_VALUE"""),0)</f>
        <v>0</v>
      </c>
      <c r="K787" s="29">
        <f ca="1">IFERROR(__xludf.DUMMYFUNCTION("""COMPUTED_VALUE"""),4000)</f>
        <v>4000</v>
      </c>
      <c r="L787" s="29">
        <f ca="1">IFERROR(__xludf.DUMMYFUNCTION("""COMPUTED_VALUE"""),2)</f>
        <v>2</v>
      </c>
      <c r="M787" s="29">
        <f ca="1">IFERROR(__xludf.DUMMYFUNCTION("""COMPUTED_VALUE"""),0)</f>
        <v>0</v>
      </c>
      <c r="N787" s="29">
        <f ca="1">IFERROR(__xludf.DUMMYFUNCTION("""COMPUTED_VALUE"""),0)</f>
        <v>0</v>
      </c>
    </row>
    <row r="788" spans="2:14" ht="12.5">
      <c r="B788" s="2" t="str">
        <f ca="1">IFERROR(__xludf.DUMMYFUNCTION("""COMPUTED_VALUE"""),"大分上野丘高")</f>
        <v>大分上野丘高</v>
      </c>
      <c r="C788" s="2" t="str">
        <f ca="1">IFERROR(__xludf.DUMMYFUNCTION("""COMPUTED_VALUE"""),"#N/A")</f>
        <v>#N/A</v>
      </c>
      <c r="D788" s="2">
        <f ca="1">IFERROR(__xludf.DUMMYFUNCTION("""COMPUTED_VALUE"""),0)</f>
        <v>0</v>
      </c>
      <c r="E788" s="29">
        <f ca="1">IFERROR(__xludf.DUMMYFUNCTION("""COMPUTED_VALUE"""),0)</f>
        <v>0</v>
      </c>
      <c r="F788" s="30">
        <f ca="1">IFERROR(__xludf.DUMMYFUNCTION("""COMPUTED_VALUE"""),0)</f>
        <v>0</v>
      </c>
      <c r="G788" s="29">
        <f ca="1">IFERROR(__xludf.DUMMYFUNCTION("""COMPUTED_VALUE"""),0)</f>
        <v>0</v>
      </c>
      <c r="H788" s="30">
        <f ca="1">IFERROR(__xludf.DUMMYFUNCTION("""COMPUTED_VALUE"""),0)</f>
        <v>0</v>
      </c>
      <c r="I788" s="29">
        <f ca="1">IFERROR(__xludf.DUMMYFUNCTION("""COMPUTED_VALUE"""),0)</f>
        <v>0</v>
      </c>
      <c r="J788" s="29">
        <f ca="1">IFERROR(__xludf.DUMMYFUNCTION("""COMPUTED_VALUE"""),0)</f>
        <v>0</v>
      </c>
      <c r="K788" s="29">
        <f ca="1">IFERROR(__xludf.DUMMYFUNCTION("""COMPUTED_VALUE"""),6000)</f>
        <v>6000</v>
      </c>
      <c r="L788" s="29">
        <f ca="1">IFERROR(__xludf.DUMMYFUNCTION("""COMPUTED_VALUE"""),3)</f>
        <v>3</v>
      </c>
      <c r="M788" s="29">
        <f ca="1">IFERROR(__xludf.DUMMYFUNCTION("""COMPUTED_VALUE"""),0)</f>
        <v>0</v>
      </c>
      <c r="N788" s="29">
        <f ca="1">IFERROR(__xludf.DUMMYFUNCTION("""COMPUTED_VALUE"""),0)</f>
        <v>0</v>
      </c>
    </row>
    <row r="789" spans="2:14" ht="12.5">
      <c r="B789" s="2" t="str">
        <f ca="1">IFERROR(__xludf.DUMMYFUNCTION("""COMPUTED_VALUE"""),"吉祥女子高")</f>
        <v>吉祥女子高</v>
      </c>
      <c r="C789" s="2" t="str">
        <f ca="1">IFERROR(__xludf.DUMMYFUNCTION("""COMPUTED_VALUE"""),"#N/A")</f>
        <v>#N/A</v>
      </c>
      <c r="D789" s="2">
        <f ca="1">IFERROR(__xludf.DUMMYFUNCTION("""COMPUTED_VALUE"""),0)</f>
        <v>0</v>
      </c>
      <c r="E789" s="29">
        <f ca="1">IFERROR(__xludf.DUMMYFUNCTION("""COMPUTED_VALUE"""),0)</f>
        <v>0</v>
      </c>
      <c r="F789" s="30">
        <f ca="1">IFERROR(__xludf.DUMMYFUNCTION("""COMPUTED_VALUE"""),0)</f>
        <v>0</v>
      </c>
      <c r="G789" s="29">
        <f ca="1">IFERROR(__xludf.DUMMYFUNCTION("""COMPUTED_VALUE"""),0)</f>
        <v>0</v>
      </c>
      <c r="H789" s="30">
        <f ca="1">IFERROR(__xludf.DUMMYFUNCTION("""COMPUTED_VALUE"""),0)</f>
        <v>0</v>
      </c>
      <c r="I789" s="29">
        <f ca="1">IFERROR(__xludf.DUMMYFUNCTION("""COMPUTED_VALUE"""),0)</f>
        <v>0</v>
      </c>
      <c r="J789" s="29">
        <f ca="1">IFERROR(__xludf.DUMMYFUNCTION("""COMPUTED_VALUE"""),0)</f>
        <v>0</v>
      </c>
      <c r="K789" s="29">
        <f ca="1">IFERROR(__xludf.DUMMYFUNCTION("""COMPUTED_VALUE"""),2000)</f>
        <v>2000</v>
      </c>
      <c r="L789" s="29">
        <f ca="1">IFERROR(__xludf.DUMMYFUNCTION("""COMPUTED_VALUE"""),1)</f>
        <v>1</v>
      </c>
      <c r="M789" s="29">
        <f ca="1">IFERROR(__xludf.DUMMYFUNCTION("""COMPUTED_VALUE"""),0)</f>
        <v>0</v>
      </c>
      <c r="N789" s="29">
        <f ca="1">IFERROR(__xludf.DUMMYFUNCTION("""COMPUTED_VALUE"""),0)</f>
        <v>0</v>
      </c>
    </row>
    <row r="790" spans="2:14" ht="12.5">
      <c r="B790" s="2" t="str">
        <f ca="1">IFERROR(__xludf.DUMMYFUNCTION("""COMPUTED_VALUE"""),"磐田東高")</f>
        <v>磐田東高</v>
      </c>
      <c r="C790" s="2" t="str">
        <f ca="1">IFERROR(__xludf.DUMMYFUNCTION("""COMPUTED_VALUE"""),"#N/A")</f>
        <v>#N/A</v>
      </c>
      <c r="D790" s="2">
        <f ca="1">IFERROR(__xludf.DUMMYFUNCTION("""COMPUTED_VALUE"""),0)</f>
        <v>0</v>
      </c>
      <c r="E790" s="29">
        <f ca="1">IFERROR(__xludf.DUMMYFUNCTION("""COMPUTED_VALUE"""),0)</f>
        <v>0</v>
      </c>
      <c r="F790" s="30">
        <f ca="1">IFERROR(__xludf.DUMMYFUNCTION("""COMPUTED_VALUE"""),0)</f>
        <v>0</v>
      </c>
      <c r="G790" s="29">
        <f ca="1">IFERROR(__xludf.DUMMYFUNCTION("""COMPUTED_VALUE"""),0)</f>
        <v>0</v>
      </c>
      <c r="H790" s="30">
        <f ca="1">IFERROR(__xludf.DUMMYFUNCTION("""COMPUTED_VALUE"""),0)</f>
        <v>0</v>
      </c>
      <c r="I790" s="29">
        <f ca="1">IFERROR(__xludf.DUMMYFUNCTION("""COMPUTED_VALUE"""),0)</f>
        <v>0</v>
      </c>
      <c r="J790" s="29">
        <f ca="1">IFERROR(__xludf.DUMMYFUNCTION("""COMPUTED_VALUE"""),0)</f>
        <v>0</v>
      </c>
      <c r="K790" s="29">
        <f ca="1">IFERROR(__xludf.DUMMYFUNCTION("""COMPUTED_VALUE"""),2000)</f>
        <v>2000</v>
      </c>
      <c r="L790" s="29">
        <f ca="1">IFERROR(__xludf.DUMMYFUNCTION("""COMPUTED_VALUE"""),1)</f>
        <v>1</v>
      </c>
      <c r="M790" s="29">
        <f ca="1">IFERROR(__xludf.DUMMYFUNCTION("""COMPUTED_VALUE"""),0)</f>
        <v>0</v>
      </c>
      <c r="N790" s="29">
        <f ca="1">IFERROR(__xludf.DUMMYFUNCTION("""COMPUTED_VALUE"""),0)</f>
        <v>0</v>
      </c>
    </row>
    <row r="791" spans="2:14" ht="12.5">
      <c r="B791" s="2" t="str">
        <f ca="1">IFERROR(__xludf.DUMMYFUNCTION("""COMPUTED_VALUE"""),"県芦屋高")</f>
        <v>県芦屋高</v>
      </c>
      <c r="C791" s="2" t="str">
        <f ca="1">IFERROR(__xludf.DUMMYFUNCTION("""COMPUTED_VALUE"""),"#N/A")</f>
        <v>#N/A</v>
      </c>
      <c r="D791" s="2">
        <f ca="1">IFERROR(__xludf.DUMMYFUNCTION("""COMPUTED_VALUE"""),0)</f>
        <v>0</v>
      </c>
      <c r="E791" s="29">
        <f ca="1">IFERROR(__xludf.DUMMYFUNCTION("""COMPUTED_VALUE"""),0)</f>
        <v>0</v>
      </c>
      <c r="F791" s="30">
        <f ca="1">IFERROR(__xludf.DUMMYFUNCTION("""COMPUTED_VALUE"""),0)</f>
        <v>0</v>
      </c>
      <c r="G791" s="29">
        <f ca="1">IFERROR(__xludf.DUMMYFUNCTION("""COMPUTED_VALUE"""),0)</f>
        <v>0</v>
      </c>
      <c r="H791" s="30">
        <f ca="1">IFERROR(__xludf.DUMMYFUNCTION("""COMPUTED_VALUE"""),0)</f>
        <v>0</v>
      </c>
      <c r="I791" s="29">
        <f ca="1">IFERROR(__xludf.DUMMYFUNCTION("""COMPUTED_VALUE"""),0)</f>
        <v>0</v>
      </c>
      <c r="J791" s="29">
        <f ca="1">IFERROR(__xludf.DUMMYFUNCTION("""COMPUTED_VALUE"""),0)</f>
        <v>0</v>
      </c>
      <c r="K791" s="29">
        <f ca="1">IFERROR(__xludf.DUMMYFUNCTION("""COMPUTED_VALUE"""),2000)</f>
        <v>2000</v>
      </c>
      <c r="L791" s="29">
        <f ca="1">IFERROR(__xludf.DUMMYFUNCTION("""COMPUTED_VALUE"""),1)</f>
        <v>1</v>
      </c>
      <c r="M791" s="29">
        <f ca="1">IFERROR(__xludf.DUMMYFUNCTION("""COMPUTED_VALUE"""),0)</f>
        <v>0</v>
      </c>
      <c r="N791" s="29">
        <f ca="1">IFERROR(__xludf.DUMMYFUNCTION("""COMPUTED_VALUE"""),0)</f>
        <v>0</v>
      </c>
    </row>
    <row r="792" spans="2:14" ht="12.5">
      <c r="B792" s="2" t="str">
        <f ca="1">IFERROR(__xludf.DUMMYFUNCTION("""COMPUTED_VALUE"""),"北星学園女子高")</f>
        <v>北星学園女子高</v>
      </c>
      <c r="C792" s="2" t="str">
        <f ca="1">IFERROR(__xludf.DUMMYFUNCTION("""COMPUTED_VALUE"""),"#N/A")</f>
        <v>#N/A</v>
      </c>
      <c r="D792" s="2">
        <f ca="1">IFERROR(__xludf.DUMMYFUNCTION("""COMPUTED_VALUE"""),0)</f>
        <v>0</v>
      </c>
      <c r="E792" s="29">
        <f ca="1">IFERROR(__xludf.DUMMYFUNCTION("""COMPUTED_VALUE"""),0)</f>
        <v>0</v>
      </c>
      <c r="F792" s="30">
        <f ca="1">IFERROR(__xludf.DUMMYFUNCTION("""COMPUTED_VALUE"""),0)</f>
        <v>0</v>
      </c>
      <c r="G792" s="29">
        <f ca="1">IFERROR(__xludf.DUMMYFUNCTION("""COMPUTED_VALUE"""),0)</f>
        <v>0</v>
      </c>
      <c r="H792" s="30">
        <f ca="1">IFERROR(__xludf.DUMMYFUNCTION("""COMPUTED_VALUE"""),0)</f>
        <v>0</v>
      </c>
      <c r="I792" s="29">
        <f ca="1">IFERROR(__xludf.DUMMYFUNCTION("""COMPUTED_VALUE"""),0)</f>
        <v>0</v>
      </c>
      <c r="J792" s="29">
        <f ca="1">IFERROR(__xludf.DUMMYFUNCTION("""COMPUTED_VALUE"""),0)</f>
        <v>0</v>
      </c>
      <c r="K792" s="29">
        <f ca="1">IFERROR(__xludf.DUMMYFUNCTION("""COMPUTED_VALUE"""),2000)</f>
        <v>2000</v>
      </c>
      <c r="L792" s="29">
        <f ca="1">IFERROR(__xludf.DUMMYFUNCTION("""COMPUTED_VALUE"""),1)</f>
        <v>1</v>
      </c>
      <c r="M792" s="29">
        <f ca="1">IFERROR(__xludf.DUMMYFUNCTION("""COMPUTED_VALUE"""),0)</f>
        <v>0</v>
      </c>
      <c r="N792" s="29">
        <f ca="1">IFERROR(__xludf.DUMMYFUNCTION("""COMPUTED_VALUE"""),0)</f>
        <v>0</v>
      </c>
    </row>
    <row r="793" spans="2:14" ht="12.5">
      <c r="B793" s="2" t="str">
        <f ca="1">IFERROR(__xludf.DUMMYFUNCTION("""COMPUTED_VALUE"""),"府中高")</f>
        <v>府中高</v>
      </c>
      <c r="C793" s="2" t="str">
        <f ca="1">IFERROR(__xludf.DUMMYFUNCTION("""COMPUTED_VALUE"""),"#N/A")</f>
        <v>#N/A</v>
      </c>
      <c r="D793" s="2">
        <f ca="1">IFERROR(__xludf.DUMMYFUNCTION("""COMPUTED_VALUE"""),0)</f>
        <v>0</v>
      </c>
      <c r="E793" s="29">
        <f ca="1">IFERROR(__xludf.DUMMYFUNCTION("""COMPUTED_VALUE"""),0)</f>
        <v>0</v>
      </c>
      <c r="F793" s="30">
        <f ca="1">IFERROR(__xludf.DUMMYFUNCTION("""COMPUTED_VALUE"""),0)</f>
        <v>0</v>
      </c>
      <c r="G793" s="29">
        <f ca="1">IFERROR(__xludf.DUMMYFUNCTION("""COMPUTED_VALUE"""),0)</f>
        <v>0</v>
      </c>
      <c r="H793" s="30">
        <f ca="1">IFERROR(__xludf.DUMMYFUNCTION("""COMPUTED_VALUE"""),0)</f>
        <v>0</v>
      </c>
      <c r="I793" s="29">
        <f ca="1">IFERROR(__xludf.DUMMYFUNCTION("""COMPUTED_VALUE"""),0)</f>
        <v>0</v>
      </c>
      <c r="J793" s="29">
        <f ca="1">IFERROR(__xludf.DUMMYFUNCTION("""COMPUTED_VALUE"""),0)</f>
        <v>0</v>
      </c>
      <c r="K793" s="29">
        <f ca="1">IFERROR(__xludf.DUMMYFUNCTION("""COMPUTED_VALUE"""),4000)</f>
        <v>4000</v>
      </c>
      <c r="L793" s="29">
        <f ca="1">IFERROR(__xludf.DUMMYFUNCTION("""COMPUTED_VALUE"""),2)</f>
        <v>2</v>
      </c>
      <c r="M793" s="29">
        <f ca="1">IFERROR(__xludf.DUMMYFUNCTION("""COMPUTED_VALUE"""),0)</f>
        <v>0</v>
      </c>
      <c r="N793" s="29">
        <f ca="1">IFERROR(__xludf.DUMMYFUNCTION("""COMPUTED_VALUE"""),0)</f>
        <v>0</v>
      </c>
    </row>
    <row r="794" spans="2:14" ht="12.5">
      <c r="B794" s="2" t="str">
        <f ca="1">IFERROR(__xludf.DUMMYFUNCTION("""COMPUTED_VALUE"""),"浜松日体高")</f>
        <v>浜松日体高</v>
      </c>
      <c r="C794" s="2" t="str">
        <f ca="1">IFERROR(__xludf.DUMMYFUNCTION("""COMPUTED_VALUE"""),"#N/A")</f>
        <v>#N/A</v>
      </c>
      <c r="D794" s="2">
        <f ca="1">IFERROR(__xludf.DUMMYFUNCTION("""COMPUTED_VALUE"""),0)</f>
        <v>0</v>
      </c>
      <c r="E794" s="29">
        <f ca="1">IFERROR(__xludf.DUMMYFUNCTION("""COMPUTED_VALUE"""),0)</f>
        <v>0</v>
      </c>
      <c r="F794" s="30">
        <f ca="1">IFERROR(__xludf.DUMMYFUNCTION("""COMPUTED_VALUE"""),0)</f>
        <v>0</v>
      </c>
      <c r="G794" s="29">
        <f ca="1">IFERROR(__xludf.DUMMYFUNCTION("""COMPUTED_VALUE"""),0)</f>
        <v>0</v>
      </c>
      <c r="H794" s="30">
        <f ca="1">IFERROR(__xludf.DUMMYFUNCTION("""COMPUTED_VALUE"""),0)</f>
        <v>0</v>
      </c>
      <c r="I794" s="29">
        <f ca="1">IFERROR(__xludf.DUMMYFUNCTION("""COMPUTED_VALUE"""),0)</f>
        <v>0</v>
      </c>
      <c r="J794" s="29">
        <f ca="1">IFERROR(__xludf.DUMMYFUNCTION("""COMPUTED_VALUE"""),0)</f>
        <v>0</v>
      </c>
      <c r="K794" s="29">
        <f ca="1">IFERROR(__xludf.DUMMYFUNCTION("""COMPUTED_VALUE"""),4000)</f>
        <v>4000</v>
      </c>
      <c r="L794" s="29">
        <f ca="1">IFERROR(__xludf.DUMMYFUNCTION("""COMPUTED_VALUE"""),2)</f>
        <v>2</v>
      </c>
      <c r="M794" s="29">
        <f ca="1">IFERROR(__xludf.DUMMYFUNCTION("""COMPUTED_VALUE"""),0)</f>
        <v>0</v>
      </c>
      <c r="N794" s="29">
        <f ca="1">IFERROR(__xludf.DUMMYFUNCTION("""COMPUTED_VALUE"""),0)</f>
        <v>0</v>
      </c>
    </row>
    <row r="795" spans="2:14" ht="12.5">
      <c r="B795" s="2" t="str">
        <f ca="1">IFERROR(__xludf.DUMMYFUNCTION("""COMPUTED_VALUE"""),"皇學館高")</f>
        <v>皇學館高</v>
      </c>
      <c r="C795" s="2" t="str">
        <f ca="1">IFERROR(__xludf.DUMMYFUNCTION("""COMPUTED_VALUE"""),"#N/A")</f>
        <v>#N/A</v>
      </c>
      <c r="D795" s="2">
        <f ca="1">IFERROR(__xludf.DUMMYFUNCTION("""COMPUTED_VALUE"""),0)</f>
        <v>0</v>
      </c>
      <c r="E795" s="29">
        <f ca="1">IFERROR(__xludf.DUMMYFUNCTION("""COMPUTED_VALUE"""),0)</f>
        <v>0</v>
      </c>
      <c r="F795" s="30">
        <f ca="1">IFERROR(__xludf.DUMMYFUNCTION("""COMPUTED_VALUE"""),0)</f>
        <v>0</v>
      </c>
      <c r="G795" s="29">
        <f ca="1">IFERROR(__xludf.DUMMYFUNCTION("""COMPUTED_VALUE"""),0)</f>
        <v>0</v>
      </c>
      <c r="H795" s="30">
        <f ca="1">IFERROR(__xludf.DUMMYFUNCTION("""COMPUTED_VALUE"""),0)</f>
        <v>0</v>
      </c>
      <c r="I795" s="29">
        <f ca="1">IFERROR(__xludf.DUMMYFUNCTION("""COMPUTED_VALUE"""),0)</f>
        <v>0</v>
      </c>
      <c r="J795" s="29">
        <f ca="1">IFERROR(__xludf.DUMMYFUNCTION("""COMPUTED_VALUE"""),0)</f>
        <v>0</v>
      </c>
      <c r="K795" s="29">
        <f ca="1">IFERROR(__xludf.DUMMYFUNCTION("""COMPUTED_VALUE"""),2000)</f>
        <v>2000</v>
      </c>
      <c r="L795" s="29">
        <f ca="1">IFERROR(__xludf.DUMMYFUNCTION("""COMPUTED_VALUE"""),1)</f>
        <v>1</v>
      </c>
      <c r="M795" s="29">
        <f ca="1">IFERROR(__xludf.DUMMYFUNCTION("""COMPUTED_VALUE"""),0)</f>
        <v>0</v>
      </c>
      <c r="N795" s="29">
        <f ca="1">IFERROR(__xludf.DUMMYFUNCTION("""COMPUTED_VALUE"""),0)</f>
        <v>0</v>
      </c>
    </row>
    <row r="796" spans="2:14" ht="12.5">
      <c r="B796" s="2" t="str">
        <f ca="1">IFERROR(__xludf.DUMMYFUNCTION("""COMPUTED_VALUE"""),"加古川東高")</f>
        <v>加古川東高</v>
      </c>
      <c r="C796" s="2" t="str">
        <f ca="1">IFERROR(__xludf.DUMMYFUNCTION("""COMPUTED_VALUE"""),"#N/A")</f>
        <v>#N/A</v>
      </c>
      <c r="D796" s="2">
        <f ca="1">IFERROR(__xludf.DUMMYFUNCTION("""COMPUTED_VALUE"""),0)</f>
        <v>0</v>
      </c>
      <c r="E796" s="29">
        <f ca="1">IFERROR(__xludf.DUMMYFUNCTION("""COMPUTED_VALUE"""),0)</f>
        <v>0</v>
      </c>
      <c r="F796" s="30">
        <f ca="1">IFERROR(__xludf.DUMMYFUNCTION("""COMPUTED_VALUE"""),0)</f>
        <v>0</v>
      </c>
      <c r="G796" s="29">
        <f ca="1">IFERROR(__xludf.DUMMYFUNCTION("""COMPUTED_VALUE"""),0)</f>
        <v>0</v>
      </c>
      <c r="H796" s="30">
        <f ca="1">IFERROR(__xludf.DUMMYFUNCTION("""COMPUTED_VALUE"""),0)</f>
        <v>0</v>
      </c>
      <c r="I796" s="29">
        <f ca="1">IFERROR(__xludf.DUMMYFUNCTION("""COMPUTED_VALUE"""),0)</f>
        <v>0</v>
      </c>
      <c r="J796" s="29">
        <f ca="1">IFERROR(__xludf.DUMMYFUNCTION("""COMPUTED_VALUE"""),0)</f>
        <v>0</v>
      </c>
      <c r="K796" s="29">
        <f ca="1">IFERROR(__xludf.DUMMYFUNCTION("""COMPUTED_VALUE"""),2000)</f>
        <v>2000</v>
      </c>
      <c r="L796" s="29">
        <f ca="1">IFERROR(__xludf.DUMMYFUNCTION("""COMPUTED_VALUE"""),1)</f>
        <v>1</v>
      </c>
      <c r="M796" s="29">
        <f ca="1">IFERROR(__xludf.DUMMYFUNCTION("""COMPUTED_VALUE"""),0)</f>
        <v>0</v>
      </c>
      <c r="N796" s="29">
        <f ca="1">IFERROR(__xludf.DUMMYFUNCTION("""COMPUTED_VALUE"""),0)</f>
        <v>0</v>
      </c>
    </row>
    <row r="797" spans="2:14" ht="12.5">
      <c r="B797" s="2" t="str">
        <f ca="1">IFERROR(__xludf.DUMMYFUNCTION("""COMPUTED_VALUE"""),"致遠館高")</f>
        <v>致遠館高</v>
      </c>
      <c r="C797" s="2" t="str">
        <f ca="1">IFERROR(__xludf.DUMMYFUNCTION("""COMPUTED_VALUE"""),"#N/A")</f>
        <v>#N/A</v>
      </c>
      <c r="D797" s="2">
        <f ca="1">IFERROR(__xludf.DUMMYFUNCTION("""COMPUTED_VALUE"""),0)</f>
        <v>0</v>
      </c>
      <c r="E797" s="29">
        <f ca="1">IFERROR(__xludf.DUMMYFUNCTION("""COMPUTED_VALUE"""),0)</f>
        <v>0</v>
      </c>
      <c r="F797" s="30">
        <f ca="1">IFERROR(__xludf.DUMMYFUNCTION("""COMPUTED_VALUE"""),0)</f>
        <v>0</v>
      </c>
      <c r="G797" s="29">
        <f ca="1">IFERROR(__xludf.DUMMYFUNCTION("""COMPUTED_VALUE"""),0)</f>
        <v>0</v>
      </c>
      <c r="H797" s="30">
        <f ca="1">IFERROR(__xludf.DUMMYFUNCTION("""COMPUTED_VALUE"""),0)</f>
        <v>0</v>
      </c>
      <c r="I797" s="29">
        <f ca="1">IFERROR(__xludf.DUMMYFUNCTION("""COMPUTED_VALUE"""),0)</f>
        <v>0</v>
      </c>
      <c r="J797" s="29">
        <f ca="1">IFERROR(__xludf.DUMMYFUNCTION("""COMPUTED_VALUE"""),0)</f>
        <v>0</v>
      </c>
      <c r="K797" s="29">
        <f ca="1">IFERROR(__xludf.DUMMYFUNCTION("""COMPUTED_VALUE"""),2000)</f>
        <v>2000</v>
      </c>
      <c r="L797" s="29">
        <f ca="1">IFERROR(__xludf.DUMMYFUNCTION("""COMPUTED_VALUE"""),1)</f>
        <v>1</v>
      </c>
      <c r="M797" s="29">
        <f ca="1">IFERROR(__xludf.DUMMYFUNCTION("""COMPUTED_VALUE"""),0)</f>
        <v>0</v>
      </c>
      <c r="N797" s="29">
        <f ca="1">IFERROR(__xludf.DUMMYFUNCTION("""COMPUTED_VALUE"""),0)</f>
        <v>0</v>
      </c>
    </row>
    <row r="798" spans="2:14" ht="12.5">
      <c r="B798" s="2" t="str">
        <f ca="1">IFERROR(__xludf.DUMMYFUNCTION("""COMPUTED_VALUE"""),"桐朋女子高")</f>
        <v>桐朋女子高</v>
      </c>
      <c r="C798" s="2" t="str">
        <f ca="1">IFERROR(__xludf.DUMMYFUNCTION("""COMPUTED_VALUE"""),"#N/A")</f>
        <v>#N/A</v>
      </c>
      <c r="D798" s="2">
        <f ca="1">IFERROR(__xludf.DUMMYFUNCTION("""COMPUTED_VALUE"""),0)</f>
        <v>0</v>
      </c>
      <c r="E798" s="29">
        <f ca="1">IFERROR(__xludf.DUMMYFUNCTION("""COMPUTED_VALUE"""),0)</f>
        <v>0</v>
      </c>
      <c r="F798" s="30">
        <f ca="1">IFERROR(__xludf.DUMMYFUNCTION("""COMPUTED_VALUE"""),0)</f>
        <v>0</v>
      </c>
      <c r="G798" s="29">
        <f ca="1">IFERROR(__xludf.DUMMYFUNCTION("""COMPUTED_VALUE"""),0)</f>
        <v>0</v>
      </c>
      <c r="H798" s="30">
        <f ca="1">IFERROR(__xludf.DUMMYFUNCTION("""COMPUTED_VALUE"""),0)</f>
        <v>0</v>
      </c>
      <c r="I798" s="29">
        <f ca="1">IFERROR(__xludf.DUMMYFUNCTION("""COMPUTED_VALUE"""),0)</f>
        <v>0</v>
      </c>
      <c r="J798" s="29">
        <f ca="1">IFERROR(__xludf.DUMMYFUNCTION("""COMPUTED_VALUE"""),0)</f>
        <v>0</v>
      </c>
      <c r="K798" s="29">
        <f ca="1">IFERROR(__xludf.DUMMYFUNCTION("""COMPUTED_VALUE"""),2000)</f>
        <v>2000</v>
      </c>
      <c r="L798" s="29">
        <f ca="1">IFERROR(__xludf.DUMMYFUNCTION("""COMPUTED_VALUE"""),1)</f>
        <v>1</v>
      </c>
      <c r="M798" s="29">
        <f ca="1">IFERROR(__xludf.DUMMYFUNCTION("""COMPUTED_VALUE"""),0)</f>
        <v>0</v>
      </c>
      <c r="N798" s="29">
        <f ca="1">IFERROR(__xludf.DUMMYFUNCTION("""COMPUTED_VALUE"""),0)</f>
        <v>0</v>
      </c>
    </row>
    <row r="799" spans="2:14" ht="12.5">
      <c r="B799" s="2" t="str">
        <f ca="1">IFERROR(__xludf.DUMMYFUNCTION("""COMPUTED_VALUE"""),"武生東")</f>
        <v>武生東</v>
      </c>
      <c r="C799" s="2" t="str">
        <f ca="1">IFERROR(__xludf.DUMMYFUNCTION("""COMPUTED_VALUE"""),"#N/A")</f>
        <v>#N/A</v>
      </c>
      <c r="D799" s="2">
        <f ca="1">IFERROR(__xludf.DUMMYFUNCTION("""COMPUTED_VALUE"""),0)</f>
        <v>0</v>
      </c>
      <c r="E799" s="29">
        <f ca="1">IFERROR(__xludf.DUMMYFUNCTION("""COMPUTED_VALUE"""),0)</f>
        <v>0</v>
      </c>
      <c r="F799" s="30">
        <f ca="1">IFERROR(__xludf.DUMMYFUNCTION("""COMPUTED_VALUE"""),0)</f>
        <v>0</v>
      </c>
      <c r="G799" s="29">
        <f ca="1">IFERROR(__xludf.DUMMYFUNCTION("""COMPUTED_VALUE"""),0)</f>
        <v>0</v>
      </c>
      <c r="H799" s="30">
        <f ca="1">IFERROR(__xludf.DUMMYFUNCTION("""COMPUTED_VALUE"""),0)</f>
        <v>0</v>
      </c>
      <c r="I799" s="29">
        <f ca="1">IFERROR(__xludf.DUMMYFUNCTION("""COMPUTED_VALUE"""),0)</f>
        <v>0</v>
      </c>
      <c r="J799" s="29">
        <f ca="1">IFERROR(__xludf.DUMMYFUNCTION("""COMPUTED_VALUE"""),0)</f>
        <v>0</v>
      </c>
      <c r="K799" s="29">
        <f ca="1">IFERROR(__xludf.DUMMYFUNCTION("""COMPUTED_VALUE"""),2000)</f>
        <v>2000</v>
      </c>
      <c r="L799" s="29">
        <f ca="1">IFERROR(__xludf.DUMMYFUNCTION("""COMPUTED_VALUE"""),1)</f>
        <v>1</v>
      </c>
      <c r="M799" s="29">
        <f ca="1">IFERROR(__xludf.DUMMYFUNCTION("""COMPUTED_VALUE"""),0)</f>
        <v>0</v>
      </c>
      <c r="N799" s="29">
        <f ca="1">IFERROR(__xludf.DUMMYFUNCTION("""COMPUTED_VALUE"""),0)</f>
        <v>0</v>
      </c>
    </row>
    <row r="800" spans="2:14" ht="12.5">
      <c r="B800" s="2" t="str">
        <f ca="1">IFERROR(__xludf.DUMMYFUNCTION("""COMPUTED_VALUE"""),"川越高")</f>
        <v>川越高</v>
      </c>
      <c r="C800" s="2" t="str">
        <f ca="1">IFERROR(__xludf.DUMMYFUNCTION("""COMPUTED_VALUE"""),"#N/A")</f>
        <v>#N/A</v>
      </c>
      <c r="D800" s="2">
        <f ca="1">IFERROR(__xludf.DUMMYFUNCTION("""COMPUTED_VALUE"""),0)</f>
        <v>0</v>
      </c>
      <c r="E800" s="29">
        <f ca="1">IFERROR(__xludf.DUMMYFUNCTION("""COMPUTED_VALUE"""),0)</f>
        <v>0</v>
      </c>
      <c r="F800" s="30">
        <f ca="1">IFERROR(__xludf.DUMMYFUNCTION("""COMPUTED_VALUE"""),0)</f>
        <v>0</v>
      </c>
      <c r="G800" s="29">
        <f ca="1">IFERROR(__xludf.DUMMYFUNCTION("""COMPUTED_VALUE"""),0)</f>
        <v>0</v>
      </c>
      <c r="H800" s="30">
        <f ca="1">IFERROR(__xludf.DUMMYFUNCTION("""COMPUTED_VALUE"""),0)</f>
        <v>0</v>
      </c>
      <c r="I800" s="29">
        <f ca="1">IFERROR(__xludf.DUMMYFUNCTION("""COMPUTED_VALUE"""),0)</f>
        <v>0</v>
      </c>
      <c r="J800" s="29">
        <f ca="1">IFERROR(__xludf.DUMMYFUNCTION("""COMPUTED_VALUE"""),0)</f>
        <v>0</v>
      </c>
      <c r="K800" s="29">
        <f ca="1">IFERROR(__xludf.DUMMYFUNCTION("""COMPUTED_VALUE"""),2000)</f>
        <v>2000</v>
      </c>
      <c r="L800" s="29">
        <f ca="1">IFERROR(__xludf.DUMMYFUNCTION("""COMPUTED_VALUE"""),1)</f>
        <v>1</v>
      </c>
      <c r="M800" s="29">
        <f ca="1">IFERROR(__xludf.DUMMYFUNCTION("""COMPUTED_VALUE"""),0)</f>
        <v>0</v>
      </c>
      <c r="N800" s="29">
        <f ca="1">IFERROR(__xludf.DUMMYFUNCTION("""COMPUTED_VALUE"""),0)</f>
        <v>0</v>
      </c>
    </row>
    <row r="801" spans="2:14" ht="12.5">
      <c r="B801" s="2" t="str">
        <f ca="1">IFERROR(__xludf.DUMMYFUNCTION("""COMPUTED_VALUE"""),"伝習館高")</f>
        <v>伝習館高</v>
      </c>
      <c r="C801" s="2" t="str">
        <f ca="1">IFERROR(__xludf.DUMMYFUNCTION("""COMPUTED_VALUE"""),"#N/A")</f>
        <v>#N/A</v>
      </c>
      <c r="D801" s="2">
        <f ca="1">IFERROR(__xludf.DUMMYFUNCTION("""COMPUTED_VALUE"""),0)</f>
        <v>0</v>
      </c>
      <c r="E801" s="29">
        <f ca="1">IFERROR(__xludf.DUMMYFUNCTION("""COMPUTED_VALUE"""),0)</f>
        <v>0</v>
      </c>
      <c r="F801" s="30">
        <f ca="1">IFERROR(__xludf.DUMMYFUNCTION("""COMPUTED_VALUE"""),0)</f>
        <v>0</v>
      </c>
      <c r="G801" s="29">
        <f ca="1">IFERROR(__xludf.DUMMYFUNCTION("""COMPUTED_VALUE"""),0)</f>
        <v>0</v>
      </c>
      <c r="H801" s="30">
        <f ca="1">IFERROR(__xludf.DUMMYFUNCTION("""COMPUTED_VALUE"""),0)</f>
        <v>0</v>
      </c>
      <c r="I801" s="29">
        <f ca="1">IFERROR(__xludf.DUMMYFUNCTION("""COMPUTED_VALUE"""),0)</f>
        <v>0</v>
      </c>
      <c r="J801" s="29">
        <f ca="1">IFERROR(__xludf.DUMMYFUNCTION("""COMPUTED_VALUE"""),0)</f>
        <v>0</v>
      </c>
      <c r="K801" s="29">
        <f ca="1">IFERROR(__xludf.DUMMYFUNCTION("""COMPUTED_VALUE"""),2000)</f>
        <v>2000</v>
      </c>
      <c r="L801" s="29">
        <f ca="1">IFERROR(__xludf.DUMMYFUNCTION("""COMPUTED_VALUE"""),1)</f>
        <v>1</v>
      </c>
      <c r="M801" s="29">
        <f ca="1">IFERROR(__xludf.DUMMYFUNCTION("""COMPUTED_VALUE"""),0)</f>
        <v>0</v>
      </c>
      <c r="N801" s="29">
        <f ca="1">IFERROR(__xludf.DUMMYFUNCTION("""COMPUTED_VALUE"""),0)</f>
        <v>0</v>
      </c>
    </row>
    <row r="802" spans="2:14" ht="12.5">
      <c r="B802" s="2" t="str">
        <f ca="1">IFERROR(__xludf.DUMMYFUNCTION("""COMPUTED_VALUE"""),"お茶の水女子大附高")</f>
        <v>お茶の水女子大附高</v>
      </c>
      <c r="C802" s="2" t="str">
        <f ca="1">IFERROR(__xludf.DUMMYFUNCTION("""COMPUTED_VALUE"""),"#N/A")</f>
        <v>#N/A</v>
      </c>
      <c r="D802" s="2">
        <f ca="1">IFERROR(__xludf.DUMMYFUNCTION("""COMPUTED_VALUE"""),0)</f>
        <v>0</v>
      </c>
      <c r="E802" s="29">
        <f ca="1">IFERROR(__xludf.DUMMYFUNCTION("""COMPUTED_VALUE"""),0)</f>
        <v>0</v>
      </c>
      <c r="F802" s="30">
        <f ca="1">IFERROR(__xludf.DUMMYFUNCTION("""COMPUTED_VALUE"""),0)</f>
        <v>0</v>
      </c>
      <c r="G802" s="29">
        <f ca="1">IFERROR(__xludf.DUMMYFUNCTION("""COMPUTED_VALUE"""),0)</f>
        <v>0</v>
      </c>
      <c r="H802" s="30">
        <f ca="1">IFERROR(__xludf.DUMMYFUNCTION("""COMPUTED_VALUE"""),0)</f>
        <v>0</v>
      </c>
      <c r="I802" s="29">
        <f ca="1">IFERROR(__xludf.DUMMYFUNCTION("""COMPUTED_VALUE"""),0)</f>
        <v>0</v>
      </c>
      <c r="J802" s="29">
        <f ca="1">IFERROR(__xludf.DUMMYFUNCTION("""COMPUTED_VALUE"""),0)</f>
        <v>0</v>
      </c>
      <c r="K802" s="29">
        <f ca="1">IFERROR(__xludf.DUMMYFUNCTION("""COMPUTED_VALUE"""),2000)</f>
        <v>2000</v>
      </c>
      <c r="L802" s="29">
        <f ca="1">IFERROR(__xludf.DUMMYFUNCTION("""COMPUTED_VALUE"""),1)</f>
        <v>1</v>
      </c>
      <c r="M802" s="29">
        <f ca="1">IFERROR(__xludf.DUMMYFUNCTION("""COMPUTED_VALUE"""),0)</f>
        <v>0</v>
      </c>
      <c r="N802" s="29">
        <f ca="1">IFERROR(__xludf.DUMMYFUNCTION("""COMPUTED_VALUE"""),0)</f>
        <v>0</v>
      </c>
    </row>
    <row r="803" spans="2:14" ht="12.5">
      <c r="B803" s="2" t="str">
        <f ca="1">IFERROR(__xludf.DUMMYFUNCTION("""COMPUTED_VALUE"""),"攻玉社高")</f>
        <v>攻玉社高</v>
      </c>
      <c r="C803" s="2" t="str">
        <f ca="1">IFERROR(__xludf.DUMMYFUNCTION("""COMPUTED_VALUE"""),"#N/A")</f>
        <v>#N/A</v>
      </c>
      <c r="D803" s="2">
        <f ca="1">IFERROR(__xludf.DUMMYFUNCTION("""COMPUTED_VALUE"""),0)</f>
        <v>0</v>
      </c>
      <c r="E803" s="29">
        <f ca="1">IFERROR(__xludf.DUMMYFUNCTION("""COMPUTED_VALUE"""),0)</f>
        <v>0</v>
      </c>
      <c r="F803" s="30">
        <f ca="1">IFERROR(__xludf.DUMMYFUNCTION("""COMPUTED_VALUE"""),0)</f>
        <v>0</v>
      </c>
      <c r="G803" s="29">
        <f ca="1">IFERROR(__xludf.DUMMYFUNCTION("""COMPUTED_VALUE"""),0)</f>
        <v>0</v>
      </c>
      <c r="H803" s="30">
        <f ca="1">IFERROR(__xludf.DUMMYFUNCTION("""COMPUTED_VALUE"""),0)</f>
        <v>0</v>
      </c>
      <c r="I803" s="29">
        <f ca="1">IFERROR(__xludf.DUMMYFUNCTION("""COMPUTED_VALUE"""),0)</f>
        <v>0</v>
      </c>
      <c r="J803" s="29">
        <f ca="1">IFERROR(__xludf.DUMMYFUNCTION("""COMPUTED_VALUE"""),0)</f>
        <v>0</v>
      </c>
      <c r="K803" s="29">
        <f ca="1">IFERROR(__xludf.DUMMYFUNCTION("""COMPUTED_VALUE"""),2000)</f>
        <v>2000</v>
      </c>
      <c r="L803" s="29">
        <f ca="1">IFERROR(__xludf.DUMMYFUNCTION("""COMPUTED_VALUE"""),1)</f>
        <v>1</v>
      </c>
      <c r="M803" s="29">
        <f ca="1">IFERROR(__xludf.DUMMYFUNCTION("""COMPUTED_VALUE"""),0)</f>
        <v>0</v>
      </c>
      <c r="N803" s="29">
        <f ca="1">IFERROR(__xludf.DUMMYFUNCTION("""COMPUTED_VALUE"""),0)</f>
        <v>0</v>
      </c>
    </row>
    <row r="804" spans="2:14" ht="12.5">
      <c r="B804" s="2" t="str">
        <f ca="1">IFERROR(__xludf.DUMMYFUNCTION("""COMPUTED_VALUE"""),"下諏訪向陽高")</f>
        <v>下諏訪向陽高</v>
      </c>
      <c r="C804" s="2" t="str">
        <f ca="1">IFERROR(__xludf.DUMMYFUNCTION("""COMPUTED_VALUE"""),"#N/A")</f>
        <v>#N/A</v>
      </c>
      <c r="D804" s="2">
        <f ca="1">IFERROR(__xludf.DUMMYFUNCTION("""COMPUTED_VALUE"""),0)</f>
        <v>0</v>
      </c>
      <c r="E804" s="29">
        <f ca="1">IFERROR(__xludf.DUMMYFUNCTION("""COMPUTED_VALUE"""),0)</f>
        <v>0</v>
      </c>
      <c r="F804" s="30">
        <f ca="1">IFERROR(__xludf.DUMMYFUNCTION("""COMPUTED_VALUE"""),0)</f>
        <v>0</v>
      </c>
      <c r="G804" s="29">
        <f ca="1">IFERROR(__xludf.DUMMYFUNCTION("""COMPUTED_VALUE"""),0)</f>
        <v>0</v>
      </c>
      <c r="H804" s="30">
        <f ca="1">IFERROR(__xludf.DUMMYFUNCTION("""COMPUTED_VALUE"""),0)</f>
        <v>0</v>
      </c>
      <c r="I804" s="29">
        <f ca="1">IFERROR(__xludf.DUMMYFUNCTION("""COMPUTED_VALUE"""),0)</f>
        <v>0</v>
      </c>
      <c r="J804" s="29">
        <f ca="1">IFERROR(__xludf.DUMMYFUNCTION("""COMPUTED_VALUE"""),0)</f>
        <v>0</v>
      </c>
      <c r="K804" s="29">
        <f ca="1">IFERROR(__xludf.DUMMYFUNCTION("""COMPUTED_VALUE"""),2000)</f>
        <v>2000</v>
      </c>
      <c r="L804" s="29">
        <f ca="1">IFERROR(__xludf.DUMMYFUNCTION("""COMPUTED_VALUE"""),1)</f>
        <v>1</v>
      </c>
      <c r="M804" s="29">
        <f ca="1">IFERROR(__xludf.DUMMYFUNCTION("""COMPUTED_VALUE"""),0)</f>
        <v>0</v>
      </c>
      <c r="N804" s="29">
        <f ca="1">IFERROR(__xludf.DUMMYFUNCTION("""COMPUTED_VALUE"""),0)</f>
        <v>0</v>
      </c>
    </row>
    <row r="805" spans="2:14" ht="12.5">
      <c r="B805" s="2" t="str">
        <f ca="1">IFERROR(__xludf.DUMMYFUNCTION("""COMPUTED_VALUE"""),"加納高")</f>
        <v>加納高</v>
      </c>
      <c r="C805" s="2" t="str">
        <f ca="1">IFERROR(__xludf.DUMMYFUNCTION("""COMPUTED_VALUE"""),"#N/A")</f>
        <v>#N/A</v>
      </c>
      <c r="D805" s="2">
        <f ca="1">IFERROR(__xludf.DUMMYFUNCTION("""COMPUTED_VALUE"""),0)</f>
        <v>0</v>
      </c>
      <c r="E805" s="29">
        <f ca="1">IFERROR(__xludf.DUMMYFUNCTION("""COMPUTED_VALUE"""),0)</f>
        <v>0</v>
      </c>
      <c r="F805" s="30">
        <f ca="1">IFERROR(__xludf.DUMMYFUNCTION("""COMPUTED_VALUE"""),0)</f>
        <v>0</v>
      </c>
      <c r="G805" s="29">
        <f ca="1">IFERROR(__xludf.DUMMYFUNCTION("""COMPUTED_VALUE"""),0)</f>
        <v>0</v>
      </c>
      <c r="H805" s="30">
        <f ca="1">IFERROR(__xludf.DUMMYFUNCTION("""COMPUTED_VALUE"""),0)</f>
        <v>0</v>
      </c>
      <c r="I805" s="29">
        <f ca="1">IFERROR(__xludf.DUMMYFUNCTION("""COMPUTED_VALUE"""),0)</f>
        <v>0</v>
      </c>
      <c r="J805" s="29">
        <f ca="1">IFERROR(__xludf.DUMMYFUNCTION("""COMPUTED_VALUE"""),0)</f>
        <v>0</v>
      </c>
      <c r="K805" s="29">
        <f ca="1">IFERROR(__xludf.DUMMYFUNCTION("""COMPUTED_VALUE"""),2000)</f>
        <v>2000</v>
      </c>
      <c r="L805" s="29">
        <f ca="1">IFERROR(__xludf.DUMMYFUNCTION("""COMPUTED_VALUE"""),1)</f>
        <v>1</v>
      </c>
      <c r="M805" s="29">
        <f ca="1">IFERROR(__xludf.DUMMYFUNCTION("""COMPUTED_VALUE"""),0)</f>
        <v>0</v>
      </c>
      <c r="N805" s="29">
        <f ca="1">IFERROR(__xludf.DUMMYFUNCTION("""COMPUTED_VALUE"""),0)</f>
        <v>0</v>
      </c>
    </row>
    <row r="806" spans="2:14" ht="12.5">
      <c r="B806" s="2" t="str">
        <f ca="1">IFERROR(__xludf.DUMMYFUNCTION("""COMPUTED_VALUE"""),"博多青松高")</f>
        <v>博多青松高</v>
      </c>
      <c r="C806" s="2" t="str">
        <f ca="1">IFERROR(__xludf.DUMMYFUNCTION("""COMPUTED_VALUE"""),"#N/A")</f>
        <v>#N/A</v>
      </c>
      <c r="D806" s="2">
        <f ca="1">IFERROR(__xludf.DUMMYFUNCTION("""COMPUTED_VALUE"""),0)</f>
        <v>0</v>
      </c>
      <c r="E806" s="29">
        <f ca="1">IFERROR(__xludf.DUMMYFUNCTION("""COMPUTED_VALUE"""),0)</f>
        <v>0</v>
      </c>
      <c r="F806" s="30">
        <f ca="1">IFERROR(__xludf.DUMMYFUNCTION("""COMPUTED_VALUE"""),0)</f>
        <v>0</v>
      </c>
      <c r="G806" s="29">
        <f ca="1">IFERROR(__xludf.DUMMYFUNCTION("""COMPUTED_VALUE"""),0)</f>
        <v>0</v>
      </c>
      <c r="H806" s="30">
        <f ca="1">IFERROR(__xludf.DUMMYFUNCTION("""COMPUTED_VALUE"""),0)</f>
        <v>0</v>
      </c>
      <c r="I806" s="29">
        <f ca="1">IFERROR(__xludf.DUMMYFUNCTION("""COMPUTED_VALUE"""),0)</f>
        <v>0</v>
      </c>
      <c r="J806" s="29">
        <f ca="1">IFERROR(__xludf.DUMMYFUNCTION("""COMPUTED_VALUE"""),0)</f>
        <v>0</v>
      </c>
      <c r="K806" s="29">
        <f ca="1">IFERROR(__xludf.DUMMYFUNCTION("""COMPUTED_VALUE"""),2000)</f>
        <v>2000</v>
      </c>
      <c r="L806" s="29">
        <f ca="1">IFERROR(__xludf.DUMMYFUNCTION("""COMPUTED_VALUE"""),1)</f>
        <v>1</v>
      </c>
      <c r="M806" s="29">
        <f ca="1">IFERROR(__xludf.DUMMYFUNCTION("""COMPUTED_VALUE"""),0)</f>
        <v>0</v>
      </c>
      <c r="N806" s="29">
        <f ca="1">IFERROR(__xludf.DUMMYFUNCTION("""COMPUTED_VALUE"""),0)</f>
        <v>0</v>
      </c>
    </row>
    <row r="807" spans="2:14" ht="12.5">
      <c r="B807" s="2" t="str">
        <f ca="1">IFERROR(__xludf.DUMMYFUNCTION("""COMPUTED_VALUE"""),"串木野高")</f>
        <v>串木野高</v>
      </c>
      <c r="C807" s="2" t="str">
        <f ca="1">IFERROR(__xludf.DUMMYFUNCTION("""COMPUTED_VALUE"""),"#N/A")</f>
        <v>#N/A</v>
      </c>
      <c r="D807" s="2">
        <f ca="1">IFERROR(__xludf.DUMMYFUNCTION("""COMPUTED_VALUE"""),0)</f>
        <v>0</v>
      </c>
      <c r="E807" s="29">
        <f ca="1">IFERROR(__xludf.DUMMYFUNCTION("""COMPUTED_VALUE"""),0)</f>
        <v>0</v>
      </c>
      <c r="F807" s="30">
        <f ca="1">IFERROR(__xludf.DUMMYFUNCTION("""COMPUTED_VALUE"""),0)</f>
        <v>0</v>
      </c>
      <c r="G807" s="29">
        <f ca="1">IFERROR(__xludf.DUMMYFUNCTION("""COMPUTED_VALUE"""),0)</f>
        <v>0</v>
      </c>
      <c r="H807" s="30">
        <f ca="1">IFERROR(__xludf.DUMMYFUNCTION("""COMPUTED_VALUE"""),0)</f>
        <v>0</v>
      </c>
      <c r="I807" s="29">
        <f ca="1">IFERROR(__xludf.DUMMYFUNCTION("""COMPUTED_VALUE"""),0)</f>
        <v>0</v>
      </c>
      <c r="J807" s="29">
        <f ca="1">IFERROR(__xludf.DUMMYFUNCTION("""COMPUTED_VALUE"""),0)</f>
        <v>0</v>
      </c>
      <c r="K807" s="29">
        <f ca="1">IFERROR(__xludf.DUMMYFUNCTION("""COMPUTED_VALUE"""),2000)</f>
        <v>2000</v>
      </c>
      <c r="L807" s="29">
        <f ca="1">IFERROR(__xludf.DUMMYFUNCTION("""COMPUTED_VALUE"""),1)</f>
        <v>1</v>
      </c>
      <c r="M807" s="29">
        <f ca="1">IFERROR(__xludf.DUMMYFUNCTION("""COMPUTED_VALUE"""),0)</f>
        <v>0</v>
      </c>
      <c r="N807" s="29">
        <f ca="1">IFERROR(__xludf.DUMMYFUNCTION("""COMPUTED_VALUE"""),0)</f>
        <v>0</v>
      </c>
    </row>
    <row r="808" spans="2:14" ht="12.5">
      <c r="B808" s="2" t="str">
        <f ca="1">IFERROR(__xludf.DUMMYFUNCTION("""COMPUTED_VALUE"""),"与野高")</f>
        <v>与野高</v>
      </c>
      <c r="C808" s="2" t="str">
        <f ca="1">IFERROR(__xludf.DUMMYFUNCTION("""COMPUTED_VALUE"""),"#N/A")</f>
        <v>#N/A</v>
      </c>
      <c r="D808" s="2">
        <f ca="1">IFERROR(__xludf.DUMMYFUNCTION("""COMPUTED_VALUE"""),0)</f>
        <v>0</v>
      </c>
      <c r="E808" s="29">
        <f ca="1">IFERROR(__xludf.DUMMYFUNCTION("""COMPUTED_VALUE"""),0)</f>
        <v>0</v>
      </c>
      <c r="F808" s="30">
        <f ca="1">IFERROR(__xludf.DUMMYFUNCTION("""COMPUTED_VALUE"""),0)</f>
        <v>0</v>
      </c>
      <c r="G808" s="29">
        <f ca="1">IFERROR(__xludf.DUMMYFUNCTION("""COMPUTED_VALUE"""),0)</f>
        <v>0</v>
      </c>
      <c r="H808" s="30">
        <f ca="1">IFERROR(__xludf.DUMMYFUNCTION("""COMPUTED_VALUE"""),0)</f>
        <v>0</v>
      </c>
      <c r="I808" s="29">
        <f ca="1">IFERROR(__xludf.DUMMYFUNCTION("""COMPUTED_VALUE"""),0)</f>
        <v>0</v>
      </c>
      <c r="J808" s="29">
        <f ca="1">IFERROR(__xludf.DUMMYFUNCTION("""COMPUTED_VALUE"""),0)</f>
        <v>0</v>
      </c>
      <c r="K808" s="29">
        <f ca="1">IFERROR(__xludf.DUMMYFUNCTION("""COMPUTED_VALUE"""),2000)</f>
        <v>2000</v>
      </c>
      <c r="L808" s="29">
        <f ca="1">IFERROR(__xludf.DUMMYFUNCTION("""COMPUTED_VALUE"""),1)</f>
        <v>1</v>
      </c>
      <c r="M808" s="29">
        <f ca="1">IFERROR(__xludf.DUMMYFUNCTION("""COMPUTED_VALUE"""),0)</f>
        <v>0</v>
      </c>
      <c r="N808" s="29">
        <f ca="1">IFERROR(__xludf.DUMMYFUNCTION("""COMPUTED_VALUE"""),0)</f>
        <v>0</v>
      </c>
    </row>
    <row r="809" spans="2:14" ht="12.5">
      <c r="B809" s="2" t="str">
        <f ca="1">IFERROR(__xludf.DUMMYFUNCTION("""COMPUTED_VALUE"""),"南陽高")</f>
        <v>南陽高</v>
      </c>
      <c r="C809" s="2" t="str">
        <f ca="1">IFERROR(__xludf.DUMMYFUNCTION("""COMPUTED_VALUE"""),"#N/A")</f>
        <v>#N/A</v>
      </c>
      <c r="D809" s="2">
        <f ca="1">IFERROR(__xludf.DUMMYFUNCTION("""COMPUTED_VALUE"""),0)</f>
        <v>0</v>
      </c>
      <c r="E809" s="29">
        <f ca="1">IFERROR(__xludf.DUMMYFUNCTION("""COMPUTED_VALUE"""),0)</f>
        <v>0</v>
      </c>
      <c r="F809" s="30">
        <f ca="1">IFERROR(__xludf.DUMMYFUNCTION("""COMPUTED_VALUE"""),0)</f>
        <v>0</v>
      </c>
      <c r="G809" s="29">
        <f ca="1">IFERROR(__xludf.DUMMYFUNCTION("""COMPUTED_VALUE"""),0)</f>
        <v>0</v>
      </c>
      <c r="H809" s="30">
        <f ca="1">IFERROR(__xludf.DUMMYFUNCTION("""COMPUTED_VALUE"""),0)</f>
        <v>0</v>
      </c>
      <c r="I809" s="29">
        <f ca="1">IFERROR(__xludf.DUMMYFUNCTION("""COMPUTED_VALUE"""),0)</f>
        <v>0</v>
      </c>
      <c r="J809" s="29">
        <f ca="1">IFERROR(__xludf.DUMMYFUNCTION("""COMPUTED_VALUE"""),0)</f>
        <v>0</v>
      </c>
      <c r="K809" s="29">
        <f ca="1">IFERROR(__xludf.DUMMYFUNCTION("""COMPUTED_VALUE"""),4000)</f>
        <v>4000</v>
      </c>
      <c r="L809" s="29">
        <f ca="1">IFERROR(__xludf.DUMMYFUNCTION("""COMPUTED_VALUE"""),2)</f>
        <v>2</v>
      </c>
      <c r="M809" s="29">
        <f ca="1">IFERROR(__xludf.DUMMYFUNCTION("""COMPUTED_VALUE"""),0)</f>
        <v>0</v>
      </c>
      <c r="N809" s="29">
        <f ca="1">IFERROR(__xludf.DUMMYFUNCTION("""COMPUTED_VALUE"""),0)</f>
        <v>0</v>
      </c>
    </row>
    <row r="810" spans="2:14" ht="12.5">
      <c r="B810" s="2" t="str">
        <f ca="1">IFERROR(__xludf.DUMMYFUNCTION("""COMPUTED_VALUE"""),"桜和高")</f>
        <v>桜和高</v>
      </c>
      <c r="C810" s="2" t="str">
        <f ca="1">IFERROR(__xludf.DUMMYFUNCTION("""COMPUTED_VALUE"""),"#N/A")</f>
        <v>#N/A</v>
      </c>
      <c r="D810" s="2">
        <f ca="1">IFERROR(__xludf.DUMMYFUNCTION("""COMPUTED_VALUE"""),0)</f>
        <v>0</v>
      </c>
      <c r="E810" s="29">
        <f ca="1">IFERROR(__xludf.DUMMYFUNCTION("""COMPUTED_VALUE"""),0)</f>
        <v>0</v>
      </c>
      <c r="F810" s="30">
        <f ca="1">IFERROR(__xludf.DUMMYFUNCTION("""COMPUTED_VALUE"""),0)</f>
        <v>0</v>
      </c>
      <c r="G810" s="29">
        <f ca="1">IFERROR(__xludf.DUMMYFUNCTION("""COMPUTED_VALUE"""),0)</f>
        <v>0</v>
      </c>
      <c r="H810" s="30">
        <f ca="1">IFERROR(__xludf.DUMMYFUNCTION("""COMPUTED_VALUE"""),0)</f>
        <v>0</v>
      </c>
      <c r="I810" s="29">
        <f ca="1">IFERROR(__xludf.DUMMYFUNCTION("""COMPUTED_VALUE"""),0)</f>
        <v>0</v>
      </c>
      <c r="J810" s="29">
        <f ca="1">IFERROR(__xludf.DUMMYFUNCTION("""COMPUTED_VALUE"""),0)</f>
        <v>0</v>
      </c>
      <c r="K810" s="29">
        <f ca="1">IFERROR(__xludf.DUMMYFUNCTION("""COMPUTED_VALUE"""),2000)</f>
        <v>2000</v>
      </c>
      <c r="L810" s="29">
        <f ca="1">IFERROR(__xludf.DUMMYFUNCTION("""COMPUTED_VALUE"""),1)</f>
        <v>1</v>
      </c>
      <c r="M810" s="29">
        <f ca="1">IFERROR(__xludf.DUMMYFUNCTION("""COMPUTED_VALUE"""),0)</f>
        <v>0</v>
      </c>
      <c r="N810" s="29">
        <f ca="1">IFERROR(__xludf.DUMMYFUNCTION("""COMPUTED_VALUE"""),0)</f>
        <v>0</v>
      </c>
    </row>
    <row r="811" spans="2:14" ht="12.5">
      <c r="B811" s="2" t="str">
        <f ca="1">IFERROR(__xludf.DUMMYFUNCTION("""COMPUTED_VALUE"""),"石見智翠館高")</f>
        <v>石見智翠館高</v>
      </c>
      <c r="C811" s="2" t="str">
        <f ca="1">IFERROR(__xludf.DUMMYFUNCTION("""COMPUTED_VALUE"""),"#N/A")</f>
        <v>#N/A</v>
      </c>
      <c r="D811" s="2">
        <f ca="1">IFERROR(__xludf.DUMMYFUNCTION("""COMPUTED_VALUE"""),0)</f>
        <v>0</v>
      </c>
      <c r="E811" s="29">
        <f ca="1">IFERROR(__xludf.DUMMYFUNCTION("""COMPUTED_VALUE"""),0)</f>
        <v>0</v>
      </c>
      <c r="F811" s="30">
        <f ca="1">IFERROR(__xludf.DUMMYFUNCTION("""COMPUTED_VALUE"""),0)</f>
        <v>0</v>
      </c>
      <c r="G811" s="29">
        <f ca="1">IFERROR(__xludf.DUMMYFUNCTION("""COMPUTED_VALUE"""),0)</f>
        <v>0</v>
      </c>
      <c r="H811" s="30">
        <f ca="1">IFERROR(__xludf.DUMMYFUNCTION("""COMPUTED_VALUE"""),0)</f>
        <v>0</v>
      </c>
      <c r="I811" s="29">
        <f ca="1">IFERROR(__xludf.DUMMYFUNCTION("""COMPUTED_VALUE"""),0)</f>
        <v>0</v>
      </c>
      <c r="J811" s="29">
        <f ca="1">IFERROR(__xludf.DUMMYFUNCTION("""COMPUTED_VALUE"""),0)</f>
        <v>0</v>
      </c>
      <c r="K811" s="29">
        <f ca="1">IFERROR(__xludf.DUMMYFUNCTION("""COMPUTED_VALUE"""),2000)</f>
        <v>2000</v>
      </c>
      <c r="L811" s="29">
        <f ca="1">IFERROR(__xludf.DUMMYFUNCTION("""COMPUTED_VALUE"""),1)</f>
        <v>1</v>
      </c>
      <c r="M811" s="29">
        <f ca="1">IFERROR(__xludf.DUMMYFUNCTION("""COMPUTED_VALUE"""),0)</f>
        <v>0</v>
      </c>
      <c r="N811" s="29">
        <f ca="1">IFERROR(__xludf.DUMMYFUNCTION("""COMPUTED_VALUE"""),0)</f>
        <v>0</v>
      </c>
    </row>
    <row r="812" spans="2:14" ht="12.5">
      <c r="B812" s="2" t="str">
        <f ca="1">IFERROR(__xludf.DUMMYFUNCTION("""COMPUTED_VALUE"""),"倉敷天城高")</f>
        <v>倉敷天城高</v>
      </c>
      <c r="C812" s="2" t="str">
        <f ca="1">IFERROR(__xludf.DUMMYFUNCTION("""COMPUTED_VALUE"""),"#N/A")</f>
        <v>#N/A</v>
      </c>
      <c r="D812" s="2">
        <f ca="1">IFERROR(__xludf.DUMMYFUNCTION("""COMPUTED_VALUE"""),0)</f>
        <v>0</v>
      </c>
      <c r="E812" s="29">
        <f ca="1">IFERROR(__xludf.DUMMYFUNCTION("""COMPUTED_VALUE"""),0)</f>
        <v>0</v>
      </c>
      <c r="F812" s="30">
        <f ca="1">IFERROR(__xludf.DUMMYFUNCTION("""COMPUTED_VALUE"""),0)</f>
        <v>0</v>
      </c>
      <c r="G812" s="29">
        <f ca="1">IFERROR(__xludf.DUMMYFUNCTION("""COMPUTED_VALUE"""),0)</f>
        <v>0</v>
      </c>
      <c r="H812" s="30">
        <f ca="1">IFERROR(__xludf.DUMMYFUNCTION("""COMPUTED_VALUE"""),0)</f>
        <v>0</v>
      </c>
      <c r="I812" s="29">
        <f ca="1">IFERROR(__xludf.DUMMYFUNCTION("""COMPUTED_VALUE"""),0)</f>
        <v>0</v>
      </c>
      <c r="J812" s="29">
        <f ca="1">IFERROR(__xludf.DUMMYFUNCTION("""COMPUTED_VALUE"""),0)</f>
        <v>0</v>
      </c>
      <c r="K812" s="29">
        <f ca="1">IFERROR(__xludf.DUMMYFUNCTION("""COMPUTED_VALUE"""),6000)</f>
        <v>6000</v>
      </c>
      <c r="L812" s="29">
        <f ca="1">IFERROR(__xludf.DUMMYFUNCTION("""COMPUTED_VALUE"""),3)</f>
        <v>3</v>
      </c>
      <c r="M812" s="29">
        <f ca="1">IFERROR(__xludf.DUMMYFUNCTION("""COMPUTED_VALUE"""),0)</f>
        <v>0</v>
      </c>
      <c r="N812" s="29">
        <f ca="1">IFERROR(__xludf.DUMMYFUNCTION("""COMPUTED_VALUE"""),0)</f>
        <v>0</v>
      </c>
    </row>
    <row r="813" spans="2:14" ht="12.5">
      <c r="B813" s="2" t="str">
        <f ca="1">IFERROR(__xludf.DUMMYFUNCTION("""COMPUTED_VALUE"""),"遺愛女子高")</f>
        <v>遺愛女子高</v>
      </c>
      <c r="C813" s="2" t="str">
        <f ca="1">IFERROR(__xludf.DUMMYFUNCTION("""COMPUTED_VALUE"""),"#N/A")</f>
        <v>#N/A</v>
      </c>
      <c r="D813" s="2">
        <f ca="1">IFERROR(__xludf.DUMMYFUNCTION("""COMPUTED_VALUE"""),0)</f>
        <v>0</v>
      </c>
      <c r="E813" s="29">
        <f ca="1">IFERROR(__xludf.DUMMYFUNCTION("""COMPUTED_VALUE"""),0)</f>
        <v>0</v>
      </c>
      <c r="F813" s="30">
        <f ca="1">IFERROR(__xludf.DUMMYFUNCTION("""COMPUTED_VALUE"""),0)</f>
        <v>0</v>
      </c>
      <c r="G813" s="29">
        <f ca="1">IFERROR(__xludf.DUMMYFUNCTION("""COMPUTED_VALUE"""),0)</f>
        <v>0</v>
      </c>
      <c r="H813" s="30">
        <f ca="1">IFERROR(__xludf.DUMMYFUNCTION("""COMPUTED_VALUE"""),0)</f>
        <v>0</v>
      </c>
      <c r="I813" s="29">
        <f ca="1">IFERROR(__xludf.DUMMYFUNCTION("""COMPUTED_VALUE"""),0)</f>
        <v>0</v>
      </c>
      <c r="J813" s="29">
        <f ca="1">IFERROR(__xludf.DUMMYFUNCTION("""COMPUTED_VALUE"""),0)</f>
        <v>0</v>
      </c>
      <c r="K813" s="29">
        <f ca="1">IFERROR(__xludf.DUMMYFUNCTION("""COMPUTED_VALUE"""),2000)</f>
        <v>2000</v>
      </c>
      <c r="L813" s="29">
        <f ca="1">IFERROR(__xludf.DUMMYFUNCTION("""COMPUTED_VALUE"""),1)</f>
        <v>1</v>
      </c>
      <c r="M813" s="29">
        <f ca="1">IFERROR(__xludf.DUMMYFUNCTION("""COMPUTED_VALUE"""),0)</f>
        <v>0</v>
      </c>
      <c r="N813" s="29">
        <f ca="1">IFERROR(__xludf.DUMMYFUNCTION("""COMPUTED_VALUE"""),0)</f>
        <v>0</v>
      </c>
    </row>
    <row r="814" spans="2:14" ht="12.5">
      <c r="B814" s="2" t="str">
        <f ca="1">IFERROR(__xludf.DUMMYFUNCTION("""COMPUTED_VALUE"""),"玉名女子高")</f>
        <v>玉名女子高</v>
      </c>
      <c r="C814" s="2" t="str">
        <f ca="1">IFERROR(__xludf.DUMMYFUNCTION("""COMPUTED_VALUE"""),"#N/A")</f>
        <v>#N/A</v>
      </c>
      <c r="D814" s="2">
        <f ca="1">IFERROR(__xludf.DUMMYFUNCTION("""COMPUTED_VALUE"""),0)</f>
        <v>0</v>
      </c>
      <c r="E814" s="29">
        <f ca="1">IFERROR(__xludf.DUMMYFUNCTION("""COMPUTED_VALUE"""),0)</f>
        <v>0</v>
      </c>
      <c r="F814" s="30">
        <f ca="1">IFERROR(__xludf.DUMMYFUNCTION("""COMPUTED_VALUE"""),0)</f>
        <v>0</v>
      </c>
      <c r="G814" s="29">
        <f ca="1">IFERROR(__xludf.DUMMYFUNCTION("""COMPUTED_VALUE"""),0)</f>
        <v>0</v>
      </c>
      <c r="H814" s="30">
        <f ca="1">IFERROR(__xludf.DUMMYFUNCTION("""COMPUTED_VALUE"""),0)</f>
        <v>0</v>
      </c>
      <c r="I814" s="29">
        <f ca="1">IFERROR(__xludf.DUMMYFUNCTION("""COMPUTED_VALUE"""),0)</f>
        <v>0</v>
      </c>
      <c r="J814" s="29">
        <f ca="1">IFERROR(__xludf.DUMMYFUNCTION("""COMPUTED_VALUE"""),0)</f>
        <v>0</v>
      </c>
      <c r="K814" s="29">
        <f ca="1">IFERROR(__xludf.DUMMYFUNCTION("""COMPUTED_VALUE"""),2000)</f>
        <v>2000</v>
      </c>
      <c r="L814" s="29">
        <f ca="1">IFERROR(__xludf.DUMMYFUNCTION("""COMPUTED_VALUE"""),1)</f>
        <v>1</v>
      </c>
      <c r="M814" s="29">
        <f ca="1">IFERROR(__xludf.DUMMYFUNCTION("""COMPUTED_VALUE"""),0)</f>
        <v>0</v>
      </c>
      <c r="N814" s="29">
        <f ca="1">IFERROR(__xludf.DUMMYFUNCTION("""COMPUTED_VALUE"""),0)</f>
        <v>0</v>
      </c>
    </row>
    <row r="815" spans="2:14" ht="12.5">
      <c r="B815" s="2" t="str">
        <f ca="1">IFERROR(__xludf.DUMMYFUNCTION("""COMPUTED_VALUE"""),"球陽高")</f>
        <v>球陽高</v>
      </c>
      <c r="C815" s="2" t="str">
        <f ca="1">IFERROR(__xludf.DUMMYFUNCTION("""COMPUTED_VALUE"""),"#N/A")</f>
        <v>#N/A</v>
      </c>
      <c r="D815" s="2">
        <f ca="1">IFERROR(__xludf.DUMMYFUNCTION("""COMPUTED_VALUE"""),0)</f>
        <v>0</v>
      </c>
      <c r="E815" s="29">
        <f ca="1">IFERROR(__xludf.DUMMYFUNCTION("""COMPUTED_VALUE"""),0)</f>
        <v>0</v>
      </c>
      <c r="F815" s="30">
        <f ca="1">IFERROR(__xludf.DUMMYFUNCTION("""COMPUTED_VALUE"""),0)</f>
        <v>0</v>
      </c>
      <c r="G815" s="29">
        <f ca="1">IFERROR(__xludf.DUMMYFUNCTION("""COMPUTED_VALUE"""),0)</f>
        <v>0</v>
      </c>
      <c r="H815" s="30">
        <f ca="1">IFERROR(__xludf.DUMMYFUNCTION("""COMPUTED_VALUE"""),0)</f>
        <v>0</v>
      </c>
      <c r="I815" s="29">
        <f ca="1">IFERROR(__xludf.DUMMYFUNCTION("""COMPUTED_VALUE"""),0)</f>
        <v>0</v>
      </c>
      <c r="J815" s="29">
        <f ca="1">IFERROR(__xludf.DUMMYFUNCTION("""COMPUTED_VALUE"""),0)</f>
        <v>0</v>
      </c>
      <c r="K815" s="29">
        <f ca="1">IFERROR(__xludf.DUMMYFUNCTION("""COMPUTED_VALUE"""),6000)</f>
        <v>6000</v>
      </c>
      <c r="L815" s="29">
        <f ca="1">IFERROR(__xludf.DUMMYFUNCTION("""COMPUTED_VALUE"""),3)</f>
        <v>3</v>
      </c>
      <c r="M815" s="29">
        <f ca="1">IFERROR(__xludf.DUMMYFUNCTION("""COMPUTED_VALUE"""),0)</f>
        <v>0</v>
      </c>
      <c r="N815" s="29">
        <f ca="1">IFERROR(__xludf.DUMMYFUNCTION("""COMPUTED_VALUE"""),0)</f>
        <v>0</v>
      </c>
    </row>
    <row r="816" spans="2:14" ht="12.5">
      <c r="B816" s="2" t="str">
        <f ca="1">IFERROR(__xludf.DUMMYFUNCTION("""COMPUTED_VALUE"""),"追手門学院大手前")</f>
        <v>追手門学院大手前</v>
      </c>
      <c r="C816" s="2" t="str">
        <f ca="1">IFERROR(__xludf.DUMMYFUNCTION("""COMPUTED_VALUE"""),"#N/A")</f>
        <v>#N/A</v>
      </c>
      <c r="D816" s="2">
        <f ca="1">IFERROR(__xludf.DUMMYFUNCTION("""COMPUTED_VALUE"""),0)</f>
        <v>0</v>
      </c>
      <c r="E816" s="29">
        <f ca="1">IFERROR(__xludf.DUMMYFUNCTION("""COMPUTED_VALUE"""),0)</f>
        <v>0</v>
      </c>
      <c r="F816" s="30">
        <f ca="1">IFERROR(__xludf.DUMMYFUNCTION("""COMPUTED_VALUE"""),0)</f>
        <v>0</v>
      </c>
      <c r="G816" s="29">
        <f ca="1">IFERROR(__xludf.DUMMYFUNCTION("""COMPUTED_VALUE"""),0)</f>
        <v>0</v>
      </c>
      <c r="H816" s="30">
        <f ca="1">IFERROR(__xludf.DUMMYFUNCTION("""COMPUTED_VALUE"""),0)</f>
        <v>0</v>
      </c>
      <c r="I816" s="29">
        <f ca="1">IFERROR(__xludf.DUMMYFUNCTION("""COMPUTED_VALUE"""),0)</f>
        <v>0</v>
      </c>
      <c r="J816" s="29">
        <f ca="1">IFERROR(__xludf.DUMMYFUNCTION("""COMPUTED_VALUE"""),0)</f>
        <v>0</v>
      </c>
      <c r="K816" s="29">
        <f ca="1">IFERROR(__xludf.DUMMYFUNCTION("""COMPUTED_VALUE"""),2000)</f>
        <v>2000</v>
      </c>
      <c r="L816" s="29">
        <f ca="1">IFERROR(__xludf.DUMMYFUNCTION("""COMPUTED_VALUE"""),1)</f>
        <v>1</v>
      </c>
      <c r="M816" s="29">
        <f ca="1">IFERROR(__xludf.DUMMYFUNCTION("""COMPUTED_VALUE"""),0)</f>
        <v>0</v>
      </c>
      <c r="N816" s="29">
        <f ca="1">IFERROR(__xludf.DUMMYFUNCTION("""COMPUTED_VALUE"""),0)</f>
        <v>0</v>
      </c>
    </row>
    <row r="817" spans="2:14" ht="12.5">
      <c r="B817" s="2" t="str">
        <f ca="1">IFERROR(__xludf.DUMMYFUNCTION("""COMPUTED_VALUE"""),"拓殖大第一高")</f>
        <v>拓殖大第一高</v>
      </c>
      <c r="C817" s="2" t="str">
        <f ca="1">IFERROR(__xludf.DUMMYFUNCTION("""COMPUTED_VALUE"""),"#N/A")</f>
        <v>#N/A</v>
      </c>
      <c r="D817" s="2">
        <f ca="1">IFERROR(__xludf.DUMMYFUNCTION("""COMPUTED_VALUE"""),0)</f>
        <v>0</v>
      </c>
      <c r="E817" s="29">
        <f ca="1">IFERROR(__xludf.DUMMYFUNCTION("""COMPUTED_VALUE"""),0)</f>
        <v>0</v>
      </c>
      <c r="F817" s="30">
        <f ca="1">IFERROR(__xludf.DUMMYFUNCTION("""COMPUTED_VALUE"""),0)</f>
        <v>0</v>
      </c>
      <c r="G817" s="29">
        <f ca="1">IFERROR(__xludf.DUMMYFUNCTION("""COMPUTED_VALUE"""),0)</f>
        <v>0</v>
      </c>
      <c r="H817" s="30">
        <f ca="1">IFERROR(__xludf.DUMMYFUNCTION("""COMPUTED_VALUE"""),0)</f>
        <v>0</v>
      </c>
      <c r="I817" s="29">
        <f ca="1">IFERROR(__xludf.DUMMYFUNCTION("""COMPUTED_VALUE"""),0)</f>
        <v>0</v>
      </c>
      <c r="J817" s="29">
        <f ca="1">IFERROR(__xludf.DUMMYFUNCTION("""COMPUTED_VALUE"""),0)</f>
        <v>0</v>
      </c>
      <c r="K817" s="29">
        <f ca="1">IFERROR(__xludf.DUMMYFUNCTION("""COMPUTED_VALUE"""),2000)</f>
        <v>2000</v>
      </c>
      <c r="L817" s="29">
        <f ca="1">IFERROR(__xludf.DUMMYFUNCTION("""COMPUTED_VALUE"""),1)</f>
        <v>1</v>
      </c>
      <c r="M817" s="29">
        <f ca="1">IFERROR(__xludf.DUMMYFUNCTION("""COMPUTED_VALUE"""),0)</f>
        <v>0</v>
      </c>
      <c r="N817" s="29">
        <f ca="1">IFERROR(__xludf.DUMMYFUNCTION("""COMPUTED_VALUE"""),0)</f>
        <v>0</v>
      </c>
    </row>
    <row r="818" spans="2:14" ht="12.5">
      <c r="B818" s="2" t="str">
        <f ca="1">IFERROR(__xludf.DUMMYFUNCTION("""COMPUTED_VALUE"""),"Ｓ高")</f>
        <v>Ｓ高</v>
      </c>
      <c r="C818" s="2" t="str">
        <f ca="1">IFERROR(__xludf.DUMMYFUNCTION("""COMPUTED_VALUE"""),"#N/A")</f>
        <v>#N/A</v>
      </c>
      <c r="D818" s="2">
        <f ca="1">IFERROR(__xludf.DUMMYFUNCTION("""COMPUTED_VALUE"""),0)</f>
        <v>0</v>
      </c>
      <c r="E818" s="29">
        <f ca="1">IFERROR(__xludf.DUMMYFUNCTION("""COMPUTED_VALUE"""),0)</f>
        <v>0</v>
      </c>
      <c r="F818" s="30">
        <f ca="1">IFERROR(__xludf.DUMMYFUNCTION("""COMPUTED_VALUE"""),0)</f>
        <v>0</v>
      </c>
      <c r="G818" s="29">
        <f ca="1">IFERROR(__xludf.DUMMYFUNCTION("""COMPUTED_VALUE"""),0)</f>
        <v>0</v>
      </c>
      <c r="H818" s="30">
        <f ca="1">IFERROR(__xludf.DUMMYFUNCTION("""COMPUTED_VALUE"""),0)</f>
        <v>0</v>
      </c>
      <c r="I818" s="29">
        <f ca="1">IFERROR(__xludf.DUMMYFUNCTION("""COMPUTED_VALUE"""),0)</f>
        <v>0</v>
      </c>
      <c r="J818" s="29">
        <f ca="1">IFERROR(__xludf.DUMMYFUNCTION("""COMPUTED_VALUE"""),0)</f>
        <v>0</v>
      </c>
      <c r="K818" s="29">
        <f ca="1">IFERROR(__xludf.DUMMYFUNCTION("""COMPUTED_VALUE"""),2000)</f>
        <v>2000</v>
      </c>
      <c r="L818" s="29">
        <f ca="1">IFERROR(__xludf.DUMMYFUNCTION("""COMPUTED_VALUE"""),1)</f>
        <v>1</v>
      </c>
      <c r="M818" s="29">
        <f ca="1">IFERROR(__xludf.DUMMYFUNCTION("""COMPUTED_VALUE"""),0)</f>
        <v>0</v>
      </c>
      <c r="N818" s="29">
        <f ca="1">IFERROR(__xludf.DUMMYFUNCTION("""COMPUTED_VALUE"""),0)</f>
        <v>0</v>
      </c>
    </row>
    <row r="819" spans="2:14" ht="12.5">
      <c r="B819" s="2" t="str">
        <f ca="1">IFERROR(__xludf.DUMMYFUNCTION("""COMPUTED_VALUE"""),"岸和田高")</f>
        <v>岸和田高</v>
      </c>
      <c r="C819" s="2" t="str">
        <f ca="1">IFERROR(__xludf.DUMMYFUNCTION("""COMPUTED_VALUE"""),"#N/A")</f>
        <v>#N/A</v>
      </c>
      <c r="D819" s="2">
        <f ca="1">IFERROR(__xludf.DUMMYFUNCTION("""COMPUTED_VALUE"""),0)</f>
        <v>0</v>
      </c>
      <c r="E819" s="29">
        <f ca="1">IFERROR(__xludf.DUMMYFUNCTION("""COMPUTED_VALUE"""),0)</f>
        <v>0</v>
      </c>
      <c r="F819" s="30">
        <f ca="1">IFERROR(__xludf.DUMMYFUNCTION("""COMPUTED_VALUE"""),0)</f>
        <v>0</v>
      </c>
      <c r="G819" s="29">
        <f ca="1">IFERROR(__xludf.DUMMYFUNCTION("""COMPUTED_VALUE"""),0)</f>
        <v>0</v>
      </c>
      <c r="H819" s="30">
        <f ca="1">IFERROR(__xludf.DUMMYFUNCTION("""COMPUTED_VALUE"""),0)</f>
        <v>0</v>
      </c>
      <c r="I819" s="29">
        <f ca="1">IFERROR(__xludf.DUMMYFUNCTION("""COMPUTED_VALUE"""),0)</f>
        <v>0</v>
      </c>
      <c r="J819" s="29">
        <f ca="1">IFERROR(__xludf.DUMMYFUNCTION("""COMPUTED_VALUE"""),0)</f>
        <v>0</v>
      </c>
      <c r="K819" s="29">
        <f ca="1">IFERROR(__xludf.DUMMYFUNCTION("""COMPUTED_VALUE"""),2000)</f>
        <v>2000</v>
      </c>
      <c r="L819" s="29">
        <f ca="1">IFERROR(__xludf.DUMMYFUNCTION("""COMPUTED_VALUE"""),1)</f>
        <v>1</v>
      </c>
      <c r="M819" s="29">
        <f ca="1">IFERROR(__xludf.DUMMYFUNCTION("""COMPUTED_VALUE"""),0)</f>
        <v>0</v>
      </c>
      <c r="N819" s="29">
        <f ca="1">IFERROR(__xludf.DUMMYFUNCTION("""COMPUTED_VALUE"""),0)</f>
        <v>0</v>
      </c>
    </row>
    <row r="820" spans="2:14" ht="12.5">
      <c r="B820" s="2" t="str">
        <f ca="1">IFERROR(__xludf.DUMMYFUNCTION("""COMPUTED_VALUE"""),"帝塚山学院高")</f>
        <v>帝塚山学院高</v>
      </c>
      <c r="C820" s="2" t="str">
        <f ca="1">IFERROR(__xludf.DUMMYFUNCTION("""COMPUTED_VALUE"""),"#N/A")</f>
        <v>#N/A</v>
      </c>
      <c r="D820" s="2">
        <f ca="1">IFERROR(__xludf.DUMMYFUNCTION("""COMPUTED_VALUE"""),0)</f>
        <v>0</v>
      </c>
      <c r="E820" s="29">
        <f ca="1">IFERROR(__xludf.DUMMYFUNCTION("""COMPUTED_VALUE"""),0)</f>
        <v>0</v>
      </c>
      <c r="F820" s="30">
        <f ca="1">IFERROR(__xludf.DUMMYFUNCTION("""COMPUTED_VALUE"""),0)</f>
        <v>0</v>
      </c>
      <c r="G820" s="29">
        <f ca="1">IFERROR(__xludf.DUMMYFUNCTION("""COMPUTED_VALUE"""),0)</f>
        <v>0</v>
      </c>
      <c r="H820" s="30">
        <f ca="1">IFERROR(__xludf.DUMMYFUNCTION("""COMPUTED_VALUE"""),0)</f>
        <v>0</v>
      </c>
      <c r="I820" s="29">
        <f ca="1">IFERROR(__xludf.DUMMYFUNCTION("""COMPUTED_VALUE"""),0)</f>
        <v>0</v>
      </c>
      <c r="J820" s="29">
        <f ca="1">IFERROR(__xludf.DUMMYFUNCTION("""COMPUTED_VALUE"""),0)</f>
        <v>0</v>
      </c>
      <c r="K820" s="29">
        <f ca="1">IFERROR(__xludf.DUMMYFUNCTION("""COMPUTED_VALUE"""),4000)</f>
        <v>4000</v>
      </c>
      <c r="L820" s="29">
        <f ca="1">IFERROR(__xludf.DUMMYFUNCTION("""COMPUTED_VALUE"""),2)</f>
        <v>2</v>
      </c>
      <c r="M820" s="29">
        <f ca="1">IFERROR(__xludf.DUMMYFUNCTION("""COMPUTED_VALUE"""),0)</f>
        <v>0</v>
      </c>
      <c r="N820" s="29">
        <f ca="1">IFERROR(__xludf.DUMMYFUNCTION("""COMPUTED_VALUE"""),0)</f>
        <v>0</v>
      </c>
    </row>
    <row r="821" spans="2:14" ht="12.5">
      <c r="B821" s="2" t="str">
        <f ca="1">IFERROR(__xludf.DUMMYFUNCTION("""COMPUTED_VALUE"""),"鹿島朝日高")</f>
        <v>鹿島朝日高</v>
      </c>
      <c r="C821" s="2" t="str">
        <f ca="1">IFERROR(__xludf.DUMMYFUNCTION("""COMPUTED_VALUE"""),"#N/A")</f>
        <v>#N/A</v>
      </c>
      <c r="D821" s="2">
        <f ca="1">IFERROR(__xludf.DUMMYFUNCTION("""COMPUTED_VALUE"""),0)</f>
        <v>0</v>
      </c>
      <c r="E821" s="29">
        <f ca="1">IFERROR(__xludf.DUMMYFUNCTION("""COMPUTED_VALUE"""),0)</f>
        <v>0</v>
      </c>
      <c r="F821" s="30">
        <f ca="1">IFERROR(__xludf.DUMMYFUNCTION("""COMPUTED_VALUE"""),0)</f>
        <v>0</v>
      </c>
      <c r="G821" s="29">
        <f ca="1">IFERROR(__xludf.DUMMYFUNCTION("""COMPUTED_VALUE"""),0)</f>
        <v>0</v>
      </c>
      <c r="H821" s="30">
        <f ca="1">IFERROR(__xludf.DUMMYFUNCTION("""COMPUTED_VALUE"""),0)</f>
        <v>0</v>
      </c>
      <c r="I821" s="29">
        <f ca="1">IFERROR(__xludf.DUMMYFUNCTION("""COMPUTED_VALUE"""),0)</f>
        <v>0</v>
      </c>
      <c r="J821" s="29">
        <f ca="1">IFERROR(__xludf.DUMMYFUNCTION("""COMPUTED_VALUE"""),0)</f>
        <v>0</v>
      </c>
      <c r="K821" s="29">
        <f ca="1">IFERROR(__xludf.DUMMYFUNCTION("""COMPUTED_VALUE"""),2000)</f>
        <v>2000</v>
      </c>
      <c r="L821" s="29">
        <f ca="1">IFERROR(__xludf.DUMMYFUNCTION("""COMPUTED_VALUE"""),1)</f>
        <v>1</v>
      </c>
      <c r="M821" s="29">
        <f ca="1">IFERROR(__xludf.DUMMYFUNCTION("""COMPUTED_VALUE"""),0)</f>
        <v>0</v>
      </c>
      <c r="N821" s="29">
        <f ca="1">IFERROR(__xludf.DUMMYFUNCTION("""COMPUTED_VALUE"""),0)</f>
        <v>0</v>
      </c>
    </row>
    <row r="822" spans="2:14" ht="12.5">
      <c r="B822" s="2" t="str">
        <f ca="1">IFERROR(__xludf.DUMMYFUNCTION("""COMPUTED_VALUE"""),"青雲高")</f>
        <v>青雲高</v>
      </c>
      <c r="C822" s="2" t="str">
        <f ca="1">IFERROR(__xludf.DUMMYFUNCTION("""COMPUTED_VALUE"""),"#N/A")</f>
        <v>#N/A</v>
      </c>
      <c r="D822" s="2">
        <f ca="1">IFERROR(__xludf.DUMMYFUNCTION("""COMPUTED_VALUE"""),0)</f>
        <v>0</v>
      </c>
      <c r="E822" s="29">
        <f ca="1">IFERROR(__xludf.DUMMYFUNCTION("""COMPUTED_VALUE"""),0)</f>
        <v>0</v>
      </c>
      <c r="F822" s="30">
        <f ca="1">IFERROR(__xludf.DUMMYFUNCTION("""COMPUTED_VALUE"""),0)</f>
        <v>0</v>
      </c>
      <c r="G822" s="29">
        <f ca="1">IFERROR(__xludf.DUMMYFUNCTION("""COMPUTED_VALUE"""),0)</f>
        <v>0</v>
      </c>
      <c r="H822" s="30">
        <f ca="1">IFERROR(__xludf.DUMMYFUNCTION("""COMPUTED_VALUE"""),0)</f>
        <v>0</v>
      </c>
      <c r="I822" s="29">
        <f ca="1">IFERROR(__xludf.DUMMYFUNCTION("""COMPUTED_VALUE"""),0)</f>
        <v>0</v>
      </c>
      <c r="J822" s="29">
        <f ca="1">IFERROR(__xludf.DUMMYFUNCTION("""COMPUTED_VALUE"""),0)</f>
        <v>0</v>
      </c>
      <c r="K822" s="29">
        <f ca="1">IFERROR(__xludf.DUMMYFUNCTION("""COMPUTED_VALUE"""),4000)</f>
        <v>4000</v>
      </c>
      <c r="L822" s="29">
        <f ca="1">IFERROR(__xludf.DUMMYFUNCTION("""COMPUTED_VALUE"""),2)</f>
        <v>2</v>
      </c>
      <c r="M822" s="29">
        <f ca="1">IFERROR(__xludf.DUMMYFUNCTION("""COMPUTED_VALUE"""),0)</f>
        <v>0</v>
      </c>
      <c r="N822" s="29">
        <f ca="1">IFERROR(__xludf.DUMMYFUNCTION("""COMPUTED_VALUE"""),0)</f>
        <v>0</v>
      </c>
    </row>
    <row r="823" spans="2:14" ht="12.5">
      <c r="B823" s="2" t="str">
        <f ca="1">IFERROR(__xludf.DUMMYFUNCTION("""COMPUTED_VALUE"""),"江北高")</f>
        <v>江北高</v>
      </c>
      <c r="C823" s="2" t="str">
        <f ca="1">IFERROR(__xludf.DUMMYFUNCTION("""COMPUTED_VALUE"""),"#N/A")</f>
        <v>#N/A</v>
      </c>
      <c r="D823" s="2">
        <f ca="1">IFERROR(__xludf.DUMMYFUNCTION("""COMPUTED_VALUE"""),0)</f>
        <v>0</v>
      </c>
      <c r="E823" s="29">
        <f ca="1">IFERROR(__xludf.DUMMYFUNCTION("""COMPUTED_VALUE"""),0)</f>
        <v>0</v>
      </c>
      <c r="F823" s="30">
        <f ca="1">IFERROR(__xludf.DUMMYFUNCTION("""COMPUTED_VALUE"""),0)</f>
        <v>0</v>
      </c>
      <c r="G823" s="29">
        <f ca="1">IFERROR(__xludf.DUMMYFUNCTION("""COMPUTED_VALUE"""),0)</f>
        <v>0</v>
      </c>
      <c r="H823" s="30">
        <f ca="1">IFERROR(__xludf.DUMMYFUNCTION("""COMPUTED_VALUE"""),0)</f>
        <v>0</v>
      </c>
      <c r="I823" s="29">
        <f ca="1">IFERROR(__xludf.DUMMYFUNCTION("""COMPUTED_VALUE"""),0)</f>
        <v>0</v>
      </c>
      <c r="J823" s="29">
        <f ca="1">IFERROR(__xludf.DUMMYFUNCTION("""COMPUTED_VALUE"""),0)</f>
        <v>0</v>
      </c>
      <c r="K823" s="29">
        <f ca="1">IFERROR(__xludf.DUMMYFUNCTION("""COMPUTED_VALUE"""),2000)</f>
        <v>2000</v>
      </c>
      <c r="L823" s="29">
        <f ca="1">IFERROR(__xludf.DUMMYFUNCTION("""COMPUTED_VALUE"""),1)</f>
        <v>1</v>
      </c>
      <c r="M823" s="29">
        <f ca="1">IFERROR(__xludf.DUMMYFUNCTION("""COMPUTED_VALUE"""),0)</f>
        <v>0</v>
      </c>
      <c r="N823" s="29">
        <f ca="1">IFERROR(__xludf.DUMMYFUNCTION("""COMPUTED_VALUE"""),0)</f>
        <v>0</v>
      </c>
    </row>
    <row r="824" spans="2:14" ht="12.5">
      <c r="B824" s="2" t="str">
        <f ca="1">IFERROR(__xludf.DUMMYFUNCTION("""COMPUTED_VALUE"""),"捜真女学校")</f>
        <v>捜真女学校</v>
      </c>
      <c r="C824" s="2" t="str">
        <f ca="1">IFERROR(__xludf.DUMMYFUNCTION("""COMPUTED_VALUE"""),"#N/A")</f>
        <v>#N/A</v>
      </c>
      <c r="D824" s="2">
        <f ca="1">IFERROR(__xludf.DUMMYFUNCTION("""COMPUTED_VALUE"""),0)</f>
        <v>0</v>
      </c>
      <c r="E824" s="29">
        <f ca="1">IFERROR(__xludf.DUMMYFUNCTION("""COMPUTED_VALUE"""),0)</f>
        <v>0</v>
      </c>
      <c r="F824" s="30">
        <f ca="1">IFERROR(__xludf.DUMMYFUNCTION("""COMPUTED_VALUE"""),0)</f>
        <v>0</v>
      </c>
      <c r="G824" s="29">
        <f ca="1">IFERROR(__xludf.DUMMYFUNCTION("""COMPUTED_VALUE"""),0)</f>
        <v>0</v>
      </c>
      <c r="H824" s="30">
        <f ca="1">IFERROR(__xludf.DUMMYFUNCTION("""COMPUTED_VALUE"""),0)</f>
        <v>0</v>
      </c>
      <c r="I824" s="29">
        <f ca="1">IFERROR(__xludf.DUMMYFUNCTION("""COMPUTED_VALUE"""),0)</f>
        <v>0</v>
      </c>
      <c r="J824" s="29">
        <f ca="1">IFERROR(__xludf.DUMMYFUNCTION("""COMPUTED_VALUE"""),0)</f>
        <v>0</v>
      </c>
      <c r="K824" s="29">
        <f ca="1">IFERROR(__xludf.DUMMYFUNCTION("""COMPUTED_VALUE"""),2000)</f>
        <v>2000</v>
      </c>
      <c r="L824" s="29">
        <f ca="1">IFERROR(__xludf.DUMMYFUNCTION("""COMPUTED_VALUE"""),1)</f>
        <v>1</v>
      </c>
      <c r="M824" s="29">
        <f ca="1">IFERROR(__xludf.DUMMYFUNCTION("""COMPUTED_VALUE"""),0)</f>
        <v>0</v>
      </c>
      <c r="N824" s="29">
        <f ca="1">IFERROR(__xludf.DUMMYFUNCTION("""COMPUTED_VALUE"""),0)</f>
        <v>0</v>
      </c>
    </row>
    <row r="825" spans="2:14" ht="12.5">
      <c r="B825" s="2" t="str">
        <f ca="1">IFERROR(__xludf.DUMMYFUNCTION("""COMPUTED_VALUE"""),"東海大付大阪仰星高")</f>
        <v>東海大付大阪仰星高</v>
      </c>
      <c r="C825" s="2" t="str">
        <f ca="1">IFERROR(__xludf.DUMMYFUNCTION("""COMPUTED_VALUE"""),"#N/A")</f>
        <v>#N/A</v>
      </c>
      <c r="D825" s="2">
        <f ca="1">IFERROR(__xludf.DUMMYFUNCTION("""COMPUTED_VALUE"""),0)</f>
        <v>0</v>
      </c>
      <c r="E825" s="29">
        <f ca="1">IFERROR(__xludf.DUMMYFUNCTION("""COMPUTED_VALUE"""),0)</f>
        <v>0</v>
      </c>
      <c r="F825" s="30">
        <f ca="1">IFERROR(__xludf.DUMMYFUNCTION("""COMPUTED_VALUE"""),0)</f>
        <v>0</v>
      </c>
      <c r="G825" s="29">
        <f ca="1">IFERROR(__xludf.DUMMYFUNCTION("""COMPUTED_VALUE"""),0)</f>
        <v>0</v>
      </c>
      <c r="H825" s="30">
        <f ca="1">IFERROR(__xludf.DUMMYFUNCTION("""COMPUTED_VALUE"""),0)</f>
        <v>0</v>
      </c>
      <c r="I825" s="29">
        <f ca="1">IFERROR(__xludf.DUMMYFUNCTION("""COMPUTED_VALUE"""),0)</f>
        <v>0</v>
      </c>
      <c r="J825" s="29">
        <f ca="1">IFERROR(__xludf.DUMMYFUNCTION("""COMPUTED_VALUE"""),0)</f>
        <v>0</v>
      </c>
      <c r="K825" s="29">
        <f ca="1">IFERROR(__xludf.DUMMYFUNCTION("""COMPUTED_VALUE"""),2000)</f>
        <v>2000</v>
      </c>
      <c r="L825" s="29">
        <f ca="1">IFERROR(__xludf.DUMMYFUNCTION("""COMPUTED_VALUE"""),1)</f>
        <v>1</v>
      </c>
      <c r="M825" s="29">
        <f ca="1">IFERROR(__xludf.DUMMYFUNCTION("""COMPUTED_VALUE"""),0)</f>
        <v>0</v>
      </c>
      <c r="N825" s="29">
        <f ca="1">IFERROR(__xludf.DUMMYFUNCTION("""COMPUTED_VALUE"""),0)</f>
        <v>0</v>
      </c>
    </row>
    <row r="826" spans="2:14" ht="12.5">
      <c r="B826" s="2" t="str">
        <f ca="1">IFERROR(__xludf.DUMMYFUNCTION("""COMPUTED_VALUE"""),"札幌大谷高")</f>
        <v>札幌大谷高</v>
      </c>
      <c r="C826" s="2" t="str">
        <f ca="1">IFERROR(__xludf.DUMMYFUNCTION("""COMPUTED_VALUE"""),"#N/A")</f>
        <v>#N/A</v>
      </c>
      <c r="D826" s="2">
        <f ca="1">IFERROR(__xludf.DUMMYFUNCTION("""COMPUTED_VALUE"""),0)</f>
        <v>0</v>
      </c>
      <c r="E826" s="29">
        <f ca="1">IFERROR(__xludf.DUMMYFUNCTION("""COMPUTED_VALUE"""),0)</f>
        <v>0</v>
      </c>
      <c r="F826" s="30">
        <f ca="1">IFERROR(__xludf.DUMMYFUNCTION("""COMPUTED_VALUE"""),0)</f>
        <v>0</v>
      </c>
      <c r="G826" s="29">
        <f ca="1">IFERROR(__xludf.DUMMYFUNCTION("""COMPUTED_VALUE"""),0)</f>
        <v>0</v>
      </c>
      <c r="H826" s="30">
        <f ca="1">IFERROR(__xludf.DUMMYFUNCTION("""COMPUTED_VALUE"""),0)</f>
        <v>0</v>
      </c>
      <c r="I826" s="29">
        <f ca="1">IFERROR(__xludf.DUMMYFUNCTION("""COMPUTED_VALUE"""),0)</f>
        <v>0</v>
      </c>
      <c r="J826" s="29">
        <f ca="1">IFERROR(__xludf.DUMMYFUNCTION("""COMPUTED_VALUE"""),0)</f>
        <v>0</v>
      </c>
      <c r="K826" s="29">
        <f ca="1">IFERROR(__xludf.DUMMYFUNCTION("""COMPUTED_VALUE"""),6000)</f>
        <v>6000</v>
      </c>
      <c r="L826" s="29">
        <f ca="1">IFERROR(__xludf.DUMMYFUNCTION("""COMPUTED_VALUE"""),3)</f>
        <v>3</v>
      </c>
      <c r="M826" s="29">
        <f ca="1">IFERROR(__xludf.DUMMYFUNCTION("""COMPUTED_VALUE"""),0)</f>
        <v>0</v>
      </c>
      <c r="N826" s="29">
        <f ca="1">IFERROR(__xludf.DUMMYFUNCTION("""COMPUTED_VALUE"""),0)</f>
        <v>0</v>
      </c>
    </row>
    <row r="827" spans="2:14" ht="12.5">
      <c r="B827" s="2" t="str">
        <f ca="1">IFERROR(__xludf.DUMMYFUNCTION("""COMPUTED_VALUE"""),"常翔啓光学園高")</f>
        <v>常翔啓光学園高</v>
      </c>
      <c r="C827" s="2" t="str">
        <f ca="1">IFERROR(__xludf.DUMMYFUNCTION("""COMPUTED_VALUE"""),"#N/A")</f>
        <v>#N/A</v>
      </c>
      <c r="D827" s="2">
        <f ca="1">IFERROR(__xludf.DUMMYFUNCTION("""COMPUTED_VALUE"""),0)</f>
        <v>0</v>
      </c>
      <c r="E827" s="29">
        <f ca="1">IFERROR(__xludf.DUMMYFUNCTION("""COMPUTED_VALUE"""),0)</f>
        <v>0</v>
      </c>
      <c r="F827" s="30">
        <f ca="1">IFERROR(__xludf.DUMMYFUNCTION("""COMPUTED_VALUE"""),0)</f>
        <v>0</v>
      </c>
      <c r="G827" s="29">
        <f ca="1">IFERROR(__xludf.DUMMYFUNCTION("""COMPUTED_VALUE"""),0)</f>
        <v>0</v>
      </c>
      <c r="H827" s="30">
        <f ca="1">IFERROR(__xludf.DUMMYFUNCTION("""COMPUTED_VALUE"""),0)</f>
        <v>0</v>
      </c>
      <c r="I827" s="29">
        <f ca="1">IFERROR(__xludf.DUMMYFUNCTION("""COMPUTED_VALUE"""),0)</f>
        <v>0</v>
      </c>
      <c r="J827" s="29">
        <f ca="1">IFERROR(__xludf.DUMMYFUNCTION("""COMPUTED_VALUE"""),0)</f>
        <v>0</v>
      </c>
      <c r="K827" s="29">
        <f ca="1">IFERROR(__xludf.DUMMYFUNCTION("""COMPUTED_VALUE"""),4000)</f>
        <v>4000</v>
      </c>
      <c r="L827" s="29">
        <f ca="1">IFERROR(__xludf.DUMMYFUNCTION("""COMPUTED_VALUE"""),2)</f>
        <v>2</v>
      </c>
      <c r="M827" s="29">
        <f ca="1">IFERROR(__xludf.DUMMYFUNCTION("""COMPUTED_VALUE"""),0)</f>
        <v>0</v>
      </c>
      <c r="N827" s="29">
        <f ca="1">IFERROR(__xludf.DUMMYFUNCTION("""COMPUTED_VALUE"""),0)</f>
        <v>0</v>
      </c>
    </row>
    <row r="828" spans="2:14" ht="12.5">
      <c r="B828" s="2" t="str">
        <f ca="1">IFERROR(__xludf.DUMMYFUNCTION("""COMPUTED_VALUE"""),"同志社女子高")</f>
        <v>同志社女子高</v>
      </c>
      <c r="C828" s="2" t="str">
        <f ca="1">IFERROR(__xludf.DUMMYFUNCTION("""COMPUTED_VALUE"""),"#N/A")</f>
        <v>#N/A</v>
      </c>
      <c r="D828" s="2">
        <f ca="1">IFERROR(__xludf.DUMMYFUNCTION("""COMPUTED_VALUE"""),0)</f>
        <v>0</v>
      </c>
      <c r="E828" s="29">
        <f ca="1">IFERROR(__xludf.DUMMYFUNCTION("""COMPUTED_VALUE"""),0)</f>
        <v>0</v>
      </c>
      <c r="F828" s="30">
        <f ca="1">IFERROR(__xludf.DUMMYFUNCTION("""COMPUTED_VALUE"""),0)</f>
        <v>0</v>
      </c>
      <c r="G828" s="29">
        <f ca="1">IFERROR(__xludf.DUMMYFUNCTION("""COMPUTED_VALUE"""),0)</f>
        <v>0</v>
      </c>
      <c r="H828" s="30">
        <f ca="1">IFERROR(__xludf.DUMMYFUNCTION("""COMPUTED_VALUE"""),0)</f>
        <v>0</v>
      </c>
      <c r="I828" s="29">
        <f ca="1">IFERROR(__xludf.DUMMYFUNCTION("""COMPUTED_VALUE"""),0)</f>
        <v>0</v>
      </c>
      <c r="J828" s="29">
        <f ca="1">IFERROR(__xludf.DUMMYFUNCTION("""COMPUTED_VALUE"""),0)</f>
        <v>0</v>
      </c>
      <c r="K828" s="29">
        <f ca="1">IFERROR(__xludf.DUMMYFUNCTION("""COMPUTED_VALUE"""),2000)</f>
        <v>2000</v>
      </c>
      <c r="L828" s="29">
        <f ca="1">IFERROR(__xludf.DUMMYFUNCTION("""COMPUTED_VALUE"""),1)</f>
        <v>1</v>
      </c>
      <c r="M828" s="29">
        <f ca="1">IFERROR(__xludf.DUMMYFUNCTION("""COMPUTED_VALUE"""),0)</f>
        <v>0</v>
      </c>
      <c r="N828" s="29">
        <f ca="1">IFERROR(__xludf.DUMMYFUNCTION("""COMPUTED_VALUE"""),0)</f>
        <v>0</v>
      </c>
    </row>
    <row r="829" spans="2:14" ht="12.5">
      <c r="B829" s="2" t="str">
        <f ca="1">IFERROR(__xludf.DUMMYFUNCTION("""COMPUTED_VALUE"""),"舞子高")</f>
        <v>舞子高</v>
      </c>
      <c r="C829" s="2" t="str">
        <f ca="1">IFERROR(__xludf.DUMMYFUNCTION("""COMPUTED_VALUE"""),"#N/A")</f>
        <v>#N/A</v>
      </c>
      <c r="D829" s="2">
        <f ca="1">IFERROR(__xludf.DUMMYFUNCTION("""COMPUTED_VALUE"""),0)</f>
        <v>0</v>
      </c>
      <c r="E829" s="29">
        <f ca="1">IFERROR(__xludf.DUMMYFUNCTION("""COMPUTED_VALUE"""),0)</f>
        <v>0</v>
      </c>
      <c r="F829" s="30">
        <f ca="1">IFERROR(__xludf.DUMMYFUNCTION("""COMPUTED_VALUE"""),0)</f>
        <v>0</v>
      </c>
      <c r="G829" s="29">
        <f ca="1">IFERROR(__xludf.DUMMYFUNCTION("""COMPUTED_VALUE"""),0)</f>
        <v>0</v>
      </c>
      <c r="H829" s="30">
        <f ca="1">IFERROR(__xludf.DUMMYFUNCTION("""COMPUTED_VALUE"""),0)</f>
        <v>0</v>
      </c>
      <c r="I829" s="29">
        <f ca="1">IFERROR(__xludf.DUMMYFUNCTION("""COMPUTED_VALUE"""),0)</f>
        <v>0</v>
      </c>
      <c r="J829" s="29">
        <f ca="1">IFERROR(__xludf.DUMMYFUNCTION("""COMPUTED_VALUE"""),0)</f>
        <v>0</v>
      </c>
      <c r="K829" s="29">
        <f ca="1">IFERROR(__xludf.DUMMYFUNCTION("""COMPUTED_VALUE"""),2000)</f>
        <v>2000</v>
      </c>
      <c r="L829" s="29">
        <f ca="1">IFERROR(__xludf.DUMMYFUNCTION("""COMPUTED_VALUE"""),1)</f>
        <v>1</v>
      </c>
      <c r="M829" s="29">
        <f ca="1">IFERROR(__xludf.DUMMYFUNCTION("""COMPUTED_VALUE"""),0)</f>
        <v>0</v>
      </c>
      <c r="N829" s="29">
        <f ca="1">IFERROR(__xludf.DUMMYFUNCTION("""COMPUTED_VALUE"""),0)</f>
        <v>0</v>
      </c>
    </row>
    <row r="830" spans="2:14" ht="12.5">
      <c r="B830" s="2" t="str">
        <f ca="1">IFERROR(__xludf.DUMMYFUNCTION("""COMPUTED_VALUE"""),"青翔高")</f>
        <v>青翔高</v>
      </c>
      <c r="C830" s="2" t="str">
        <f ca="1">IFERROR(__xludf.DUMMYFUNCTION("""COMPUTED_VALUE"""),"#N/A")</f>
        <v>#N/A</v>
      </c>
      <c r="D830" s="2">
        <f ca="1">IFERROR(__xludf.DUMMYFUNCTION("""COMPUTED_VALUE"""),0)</f>
        <v>0</v>
      </c>
      <c r="E830" s="29">
        <f ca="1">IFERROR(__xludf.DUMMYFUNCTION("""COMPUTED_VALUE"""),0)</f>
        <v>0</v>
      </c>
      <c r="F830" s="30">
        <f ca="1">IFERROR(__xludf.DUMMYFUNCTION("""COMPUTED_VALUE"""),0)</f>
        <v>0</v>
      </c>
      <c r="G830" s="29">
        <f ca="1">IFERROR(__xludf.DUMMYFUNCTION("""COMPUTED_VALUE"""),0)</f>
        <v>0</v>
      </c>
      <c r="H830" s="30">
        <f ca="1">IFERROR(__xludf.DUMMYFUNCTION("""COMPUTED_VALUE"""),0)</f>
        <v>0</v>
      </c>
      <c r="I830" s="29">
        <f ca="1">IFERROR(__xludf.DUMMYFUNCTION("""COMPUTED_VALUE"""),0)</f>
        <v>0</v>
      </c>
      <c r="J830" s="29">
        <f ca="1">IFERROR(__xludf.DUMMYFUNCTION("""COMPUTED_VALUE"""),0)</f>
        <v>0</v>
      </c>
      <c r="K830" s="29">
        <f ca="1">IFERROR(__xludf.DUMMYFUNCTION("""COMPUTED_VALUE"""),2000)</f>
        <v>2000</v>
      </c>
      <c r="L830" s="29">
        <f ca="1">IFERROR(__xludf.DUMMYFUNCTION("""COMPUTED_VALUE"""),1)</f>
        <v>1</v>
      </c>
      <c r="M830" s="29">
        <f ca="1">IFERROR(__xludf.DUMMYFUNCTION("""COMPUTED_VALUE"""),0)</f>
        <v>0</v>
      </c>
      <c r="N830" s="29">
        <f ca="1">IFERROR(__xludf.DUMMYFUNCTION("""COMPUTED_VALUE"""),0)</f>
        <v>0</v>
      </c>
    </row>
    <row r="831" spans="2:14" ht="12.5">
      <c r="B831" s="2" t="str">
        <f ca="1">IFERROR(__xludf.DUMMYFUNCTION("""COMPUTED_VALUE"""),"中津北高")</f>
        <v>中津北高</v>
      </c>
      <c r="C831" s="2" t="str">
        <f ca="1">IFERROR(__xludf.DUMMYFUNCTION("""COMPUTED_VALUE"""),"#N/A")</f>
        <v>#N/A</v>
      </c>
      <c r="D831" s="2">
        <f ca="1">IFERROR(__xludf.DUMMYFUNCTION("""COMPUTED_VALUE"""),0)</f>
        <v>0</v>
      </c>
      <c r="E831" s="29">
        <f ca="1">IFERROR(__xludf.DUMMYFUNCTION("""COMPUTED_VALUE"""),0)</f>
        <v>0</v>
      </c>
      <c r="F831" s="30">
        <f ca="1">IFERROR(__xludf.DUMMYFUNCTION("""COMPUTED_VALUE"""),0)</f>
        <v>0</v>
      </c>
      <c r="G831" s="29">
        <f ca="1">IFERROR(__xludf.DUMMYFUNCTION("""COMPUTED_VALUE"""),0)</f>
        <v>0</v>
      </c>
      <c r="H831" s="30">
        <f ca="1">IFERROR(__xludf.DUMMYFUNCTION("""COMPUTED_VALUE"""),0)</f>
        <v>0</v>
      </c>
      <c r="I831" s="29">
        <f ca="1">IFERROR(__xludf.DUMMYFUNCTION("""COMPUTED_VALUE"""),0)</f>
        <v>0</v>
      </c>
      <c r="J831" s="29">
        <f ca="1">IFERROR(__xludf.DUMMYFUNCTION("""COMPUTED_VALUE"""),0)</f>
        <v>0</v>
      </c>
      <c r="K831" s="29">
        <f ca="1">IFERROR(__xludf.DUMMYFUNCTION("""COMPUTED_VALUE"""),2000)</f>
        <v>2000</v>
      </c>
      <c r="L831" s="29">
        <f ca="1">IFERROR(__xludf.DUMMYFUNCTION("""COMPUTED_VALUE"""),1)</f>
        <v>1</v>
      </c>
      <c r="M831" s="29">
        <f ca="1">IFERROR(__xludf.DUMMYFUNCTION("""COMPUTED_VALUE"""),0)</f>
        <v>0</v>
      </c>
      <c r="N831" s="29">
        <f ca="1">IFERROR(__xludf.DUMMYFUNCTION("""COMPUTED_VALUE"""),0)</f>
        <v>0</v>
      </c>
    </row>
    <row r="832" spans="2:14" ht="12.5">
      <c r="B832" s="2" t="str">
        <f ca="1">IFERROR(__xludf.DUMMYFUNCTION("""COMPUTED_VALUE"""),"梅花高")</f>
        <v>梅花高</v>
      </c>
      <c r="C832" s="2" t="str">
        <f ca="1">IFERROR(__xludf.DUMMYFUNCTION("""COMPUTED_VALUE"""),"#N/A")</f>
        <v>#N/A</v>
      </c>
      <c r="D832" s="2">
        <f ca="1">IFERROR(__xludf.DUMMYFUNCTION("""COMPUTED_VALUE"""),0)</f>
        <v>0</v>
      </c>
      <c r="E832" s="29">
        <f ca="1">IFERROR(__xludf.DUMMYFUNCTION("""COMPUTED_VALUE"""),0)</f>
        <v>0</v>
      </c>
      <c r="F832" s="30">
        <f ca="1">IFERROR(__xludf.DUMMYFUNCTION("""COMPUTED_VALUE"""),0)</f>
        <v>0</v>
      </c>
      <c r="G832" s="29">
        <f ca="1">IFERROR(__xludf.DUMMYFUNCTION("""COMPUTED_VALUE"""),0)</f>
        <v>0</v>
      </c>
      <c r="H832" s="30">
        <f ca="1">IFERROR(__xludf.DUMMYFUNCTION("""COMPUTED_VALUE"""),0)</f>
        <v>0</v>
      </c>
      <c r="I832" s="29">
        <f ca="1">IFERROR(__xludf.DUMMYFUNCTION("""COMPUTED_VALUE"""),0)</f>
        <v>0</v>
      </c>
      <c r="J832" s="29">
        <f ca="1">IFERROR(__xludf.DUMMYFUNCTION("""COMPUTED_VALUE"""),0)</f>
        <v>0</v>
      </c>
      <c r="K832" s="29">
        <f ca="1">IFERROR(__xludf.DUMMYFUNCTION("""COMPUTED_VALUE"""),2000)</f>
        <v>2000</v>
      </c>
      <c r="L832" s="29">
        <f ca="1">IFERROR(__xludf.DUMMYFUNCTION("""COMPUTED_VALUE"""),1)</f>
        <v>1</v>
      </c>
      <c r="M832" s="29">
        <f ca="1">IFERROR(__xludf.DUMMYFUNCTION("""COMPUTED_VALUE"""),0)</f>
        <v>0</v>
      </c>
      <c r="N832" s="29">
        <f ca="1">IFERROR(__xludf.DUMMYFUNCTION("""COMPUTED_VALUE"""),0)</f>
        <v>0</v>
      </c>
    </row>
    <row r="833" spans="2:14" ht="12.5">
      <c r="B833" s="2" t="str">
        <f ca="1">IFERROR(__xludf.DUMMYFUNCTION("""COMPUTED_VALUE"""),"宝塚高")</f>
        <v>宝塚高</v>
      </c>
      <c r="C833" s="2" t="str">
        <f ca="1">IFERROR(__xludf.DUMMYFUNCTION("""COMPUTED_VALUE"""),"#N/A")</f>
        <v>#N/A</v>
      </c>
      <c r="D833" s="2">
        <f ca="1">IFERROR(__xludf.DUMMYFUNCTION("""COMPUTED_VALUE"""),0)</f>
        <v>0</v>
      </c>
      <c r="E833" s="29">
        <f ca="1">IFERROR(__xludf.DUMMYFUNCTION("""COMPUTED_VALUE"""),0)</f>
        <v>0</v>
      </c>
      <c r="F833" s="30">
        <f ca="1">IFERROR(__xludf.DUMMYFUNCTION("""COMPUTED_VALUE"""),0)</f>
        <v>0</v>
      </c>
      <c r="G833" s="29">
        <f ca="1">IFERROR(__xludf.DUMMYFUNCTION("""COMPUTED_VALUE"""),0)</f>
        <v>0</v>
      </c>
      <c r="H833" s="30">
        <f ca="1">IFERROR(__xludf.DUMMYFUNCTION("""COMPUTED_VALUE"""),0)</f>
        <v>0</v>
      </c>
      <c r="I833" s="29">
        <f ca="1">IFERROR(__xludf.DUMMYFUNCTION("""COMPUTED_VALUE"""),0)</f>
        <v>0</v>
      </c>
      <c r="J833" s="29">
        <f ca="1">IFERROR(__xludf.DUMMYFUNCTION("""COMPUTED_VALUE"""),0)</f>
        <v>0</v>
      </c>
      <c r="K833" s="29">
        <f ca="1">IFERROR(__xludf.DUMMYFUNCTION("""COMPUTED_VALUE"""),2000)</f>
        <v>2000</v>
      </c>
      <c r="L833" s="29">
        <f ca="1">IFERROR(__xludf.DUMMYFUNCTION("""COMPUTED_VALUE"""),1)</f>
        <v>1</v>
      </c>
      <c r="M833" s="29">
        <f ca="1">IFERROR(__xludf.DUMMYFUNCTION("""COMPUTED_VALUE"""),0)</f>
        <v>0</v>
      </c>
      <c r="N833" s="29">
        <f ca="1">IFERROR(__xludf.DUMMYFUNCTION("""COMPUTED_VALUE"""),0)</f>
        <v>0</v>
      </c>
    </row>
    <row r="834" spans="2:14" ht="12.5">
      <c r="B834" s="2" t="str">
        <f ca="1">IFERROR(__xludf.DUMMYFUNCTION("""COMPUTED_VALUE"""),"久留米信愛高")</f>
        <v>久留米信愛高</v>
      </c>
      <c r="C834" s="2" t="str">
        <f ca="1">IFERROR(__xludf.DUMMYFUNCTION("""COMPUTED_VALUE"""),"#N/A")</f>
        <v>#N/A</v>
      </c>
      <c r="D834" s="2">
        <f ca="1">IFERROR(__xludf.DUMMYFUNCTION("""COMPUTED_VALUE"""),0)</f>
        <v>0</v>
      </c>
      <c r="E834" s="29">
        <f ca="1">IFERROR(__xludf.DUMMYFUNCTION("""COMPUTED_VALUE"""),0)</f>
        <v>0</v>
      </c>
      <c r="F834" s="30">
        <f ca="1">IFERROR(__xludf.DUMMYFUNCTION("""COMPUTED_VALUE"""),0)</f>
        <v>0</v>
      </c>
      <c r="G834" s="29">
        <f ca="1">IFERROR(__xludf.DUMMYFUNCTION("""COMPUTED_VALUE"""),0)</f>
        <v>0</v>
      </c>
      <c r="H834" s="30">
        <f ca="1">IFERROR(__xludf.DUMMYFUNCTION("""COMPUTED_VALUE"""),0)</f>
        <v>0</v>
      </c>
      <c r="I834" s="29">
        <f ca="1">IFERROR(__xludf.DUMMYFUNCTION("""COMPUTED_VALUE"""),0)</f>
        <v>0</v>
      </c>
      <c r="J834" s="29">
        <f ca="1">IFERROR(__xludf.DUMMYFUNCTION("""COMPUTED_VALUE"""),0)</f>
        <v>0</v>
      </c>
      <c r="K834" s="29">
        <f ca="1">IFERROR(__xludf.DUMMYFUNCTION("""COMPUTED_VALUE"""),2000)</f>
        <v>2000</v>
      </c>
      <c r="L834" s="29">
        <f ca="1">IFERROR(__xludf.DUMMYFUNCTION("""COMPUTED_VALUE"""),1)</f>
        <v>1</v>
      </c>
      <c r="M834" s="29">
        <f ca="1">IFERROR(__xludf.DUMMYFUNCTION("""COMPUTED_VALUE"""),0)</f>
        <v>0</v>
      </c>
      <c r="N834" s="29">
        <f ca="1">IFERROR(__xludf.DUMMYFUNCTION("""COMPUTED_VALUE"""),0)</f>
        <v>0</v>
      </c>
    </row>
    <row r="835" spans="2:14" ht="12.5">
      <c r="B835" s="2" t="str">
        <f ca="1">IFERROR(__xludf.DUMMYFUNCTION("""COMPUTED_VALUE"""),"市伊丹高")</f>
        <v>市伊丹高</v>
      </c>
      <c r="C835" s="2" t="str">
        <f ca="1">IFERROR(__xludf.DUMMYFUNCTION("""COMPUTED_VALUE"""),"#N/A")</f>
        <v>#N/A</v>
      </c>
      <c r="D835" s="2">
        <f ca="1">IFERROR(__xludf.DUMMYFUNCTION("""COMPUTED_VALUE"""),0)</f>
        <v>0</v>
      </c>
      <c r="E835" s="29">
        <f ca="1">IFERROR(__xludf.DUMMYFUNCTION("""COMPUTED_VALUE"""),0)</f>
        <v>0</v>
      </c>
      <c r="F835" s="30">
        <f ca="1">IFERROR(__xludf.DUMMYFUNCTION("""COMPUTED_VALUE"""),0)</f>
        <v>0</v>
      </c>
      <c r="G835" s="29">
        <f ca="1">IFERROR(__xludf.DUMMYFUNCTION("""COMPUTED_VALUE"""),0)</f>
        <v>0</v>
      </c>
      <c r="H835" s="30">
        <f ca="1">IFERROR(__xludf.DUMMYFUNCTION("""COMPUTED_VALUE"""),0)</f>
        <v>0</v>
      </c>
      <c r="I835" s="29">
        <f ca="1">IFERROR(__xludf.DUMMYFUNCTION("""COMPUTED_VALUE"""),0)</f>
        <v>0</v>
      </c>
      <c r="J835" s="29">
        <f ca="1">IFERROR(__xludf.DUMMYFUNCTION("""COMPUTED_VALUE"""),0)</f>
        <v>0</v>
      </c>
      <c r="K835" s="29">
        <f ca="1">IFERROR(__xludf.DUMMYFUNCTION("""COMPUTED_VALUE"""),2000)</f>
        <v>2000</v>
      </c>
      <c r="L835" s="29">
        <f ca="1">IFERROR(__xludf.DUMMYFUNCTION("""COMPUTED_VALUE"""),1)</f>
        <v>1</v>
      </c>
      <c r="M835" s="29">
        <f ca="1">IFERROR(__xludf.DUMMYFUNCTION("""COMPUTED_VALUE"""),0)</f>
        <v>0</v>
      </c>
      <c r="N835" s="29">
        <f ca="1">IFERROR(__xludf.DUMMYFUNCTION("""COMPUTED_VALUE"""),0)</f>
        <v>0</v>
      </c>
    </row>
    <row r="836" spans="2:14" ht="12.5">
      <c r="B836" s="2" t="str">
        <f ca="1">IFERROR(__xludf.DUMMYFUNCTION("""COMPUTED_VALUE"""),"秋留台高")</f>
        <v>秋留台高</v>
      </c>
      <c r="C836" s="2" t="str">
        <f ca="1">IFERROR(__xludf.DUMMYFUNCTION("""COMPUTED_VALUE"""),"#N/A")</f>
        <v>#N/A</v>
      </c>
      <c r="D836" s="2">
        <f ca="1">IFERROR(__xludf.DUMMYFUNCTION("""COMPUTED_VALUE"""),0)</f>
        <v>0</v>
      </c>
      <c r="E836" s="29">
        <f ca="1">IFERROR(__xludf.DUMMYFUNCTION("""COMPUTED_VALUE"""),0)</f>
        <v>0</v>
      </c>
      <c r="F836" s="30">
        <f ca="1">IFERROR(__xludf.DUMMYFUNCTION("""COMPUTED_VALUE"""),0)</f>
        <v>0</v>
      </c>
      <c r="G836" s="29">
        <f ca="1">IFERROR(__xludf.DUMMYFUNCTION("""COMPUTED_VALUE"""),0)</f>
        <v>0</v>
      </c>
      <c r="H836" s="30">
        <f ca="1">IFERROR(__xludf.DUMMYFUNCTION("""COMPUTED_VALUE"""),0)</f>
        <v>0</v>
      </c>
      <c r="I836" s="29">
        <f ca="1">IFERROR(__xludf.DUMMYFUNCTION("""COMPUTED_VALUE"""),0)</f>
        <v>0</v>
      </c>
      <c r="J836" s="29">
        <f ca="1">IFERROR(__xludf.DUMMYFUNCTION("""COMPUTED_VALUE"""),0)</f>
        <v>0</v>
      </c>
      <c r="K836" s="29">
        <f ca="1">IFERROR(__xludf.DUMMYFUNCTION("""COMPUTED_VALUE"""),2000)</f>
        <v>2000</v>
      </c>
      <c r="L836" s="29">
        <f ca="1">IFERROR(__xludf.DUMMYFUNCTION("""COMPUTED_VALUE"""),1)</f>
        <v>1</v>
      </c>
      <c r="M836" s="29">
        <f ca="1">IFERROR(__xludf.DUMMYFUNCTION("""COMPUTED_VALUE"""),0)</f>
        <v>0</v>
      </c>
      <c r="N836" s="29">
        <f ca="1">IFERROR(__xludf.DUMMYFUNCTION("""COMPUTED_VALUE"""),0)</f>
        <v>0</v>
      </c>
    </row>
    <row r="837" spans="2:14" ht="12.5">
      <c r="B837" s="2" t="str">
        <f ca="1">IFERROR(__xludf.DUMMYFUNCTION("""COMPUTED_VALUE"""),"智弁学園和歌山高")</f>
        <v>智弁学園和歌山高</v>
      </c>
      <c r="C837" s="2" t="str">
        <f ca="1">IFERROR(__xludf.DUMMYFUNCTION("""COMPUTED_VALUE"""),"#N/A")</f>
        <v>#N/A</v>
      </c>
      <c r="D837" s="2">
        <f ca="1">IFERROR(__xludf.DUMMYFUNCTION("""COMPUTED_VALUE"""),0)</f>
        <v>0</v>
      </c>
      <c r="E837" s="29">
        <f ca="1">IFERROR(__xludf.DUMMYFUNCTION("""COMPUTED_VALUE"""),0)</f>
        <v>0</v>
      </c>
      <c r="F837" s="30">
        <f ca="1">IFERROR(__xludf.DUMMYFUNCTION("""COMPUTED_VALUE"""),0)</f>
        <v>0</v>
      </c>
      <c r="G837" s="29">
        <f ca="1">IFERROR(__xludf.DUMMYFUNCTION("""COMPUTED_VALUE"""),0)</f>
        <v>0</v>
      </c>
      <c r="H837" s="30">
        <f ca="1">IFERROR(__xludf.DUMMYFUNCTION("""COMPUTED_VALUE"""),0)</f>
        <v>0</v>
      </c>
      <c r="I837" s="29">
        <f ca="1">IFERROR(__xludf.DUMMYFUNCTION("""COMPUTED_VALUE"""),0)</f>
        <v>0</v>
      </c>
      <c r="J837" s="29">
        <f ca="1">IFERROR(__xludf.DUMMYFUNCTION("""COMPUTED_VALUE"""),0)</f>
        <v>0</v>
      </c>
      <c r="K837" s="29">
        <f ca="1">IFERROR(__xludf.DUMMYFUNCTION("""COMPUTED_VALUE"""),2000)</f>
        <v>2000</v>
      </c>
      <c r="L837" s="29">
        <f ca="1">IFERROR(__xludf.DUMMYFUNCTION("""COMPUTED_VALUE"""),1)</f>
        <v>1</v>
      </c>
      <c r="M837" s="29">
        <f ca="1">IFERROR(__xludf.DUMMYFUNCTION("""COMPUTED_VALUE"""),0)</f>
        <v>0</v>
      </c>
      <c r="N837" s="29">
        <f ca="1">IFERROR(__xludf.DUMMYFUNCTION("""COMPUTED_VALUE"""),0)</f>
        <v>0</v>
      </c>
    </row>
    <row r="838" spans="2:14" ht="12.5">
      <c r="B838" s="2" t="str">
        <f ca="1">IFERROR(__xludf.DUMMYFUNCTION("""COMPUTED_VALUE"""),"岡山朝日高")</f>
        <v>岡山朝日高</v>
      </c>
      <c r="C838" s="2" t="str">
        <f ca="1">IFERROR(__xludf.DUMMYFUNCTION("""COMPUTED_VALUE"""),"#N/A")</f>
        <v>#N/A</v>
      </c>
      <c r="D838" s="2">
        <f ca="1">IFERROR(__xludf.DUMMYFUNCTION("""COMPUTED_VALUE"""),0)</f>
        <v>0</v>
      </c>
      <c r="E838" s="29">
        <f ca="1">IFERROR(__xludf.DUMMYFUNCTION("""COMPUTED_VALUE"""),0)</f>
        <v>0</v>
      </c>
      <c r="F838" s="30">
        <f ca="1">IFERROR(__xludf.DUMMYFUNCTION("""COMPUTED_VALUE"""),0)</f>
        <v>0</v>
      </c>
      <c r="G838" s="29">
        <f ca="1">IFERROR(__xludf.DUMMYFUNCTION("""COMPUTED_VALUE"""),0)</f>
        <v>0</v>
      </c>
      <c r="H838" s="30">
        <f ca="1">IFERROR(__xludf.DUMMYFUNCTION("""COMPUTED_VALUE"""),0)</f>
        <v>0</v>
      </c>
      <c r="I838" s="29">
        <f ca="1">IFERROR(__xludf.DUMMYFUNCTION("""COMPUTED_VALUE"""),0)</f>
        <v>0</v>
      </c>
      <c r="J838" s="29">
        <f ca="1">IFERROR(__xludf.DUMMYFUNCTION("""COMPUTED_VALUE"""),0)</f>
        <v>0</v>
      </c>
      <c r="K838" s="29">
        <f ca="1">IFERROR(__xludf.DUMMYFUNCTION("""COMPUTED_VALUE"""),4000)</f>
        <v>4000</v>
      </c>
      <c r="L838" s="29">
        <f ca="1">IFERROR(__xludf.DUMMYFUNCTION("""COMPUTED_VALUE"""),2)</f>
        <v>2</v>
      </c>
      <c r="M838" s="29">
        <f ca="1">IFERROR(__xludf.DUMMYFUNCTION("""COMPUTED_VALUE"""),0)</f>
        <v>0</v>
      </c>
      <c r="N838" s="29">
        <f ca="1">IFERROR(__xludf.DUMMYFUNCTION("""COMPUTED_VALUE"""),0)</f>
        <v>0</v>
      </c>
    </row>
    <row r="839" spans="2:14" ht="12.5">
      <c r="B839" s="2" t="str">
        <f ca="1">IFERROR(__xludf.DUMMYFUNCTION("""COMPUTED_VALUE"""),"福岡中央高")</f>
        <v>福岡中央高</v>
      </c>
      <c r="C839" s="2" t="str">
        <f ca="1">IFERROR(__xludf.DUMMYFUNCTION("""COMPUTED_VALUE"""),"#N/A")</f>
        <v>#N/A</v>
      </c>
      <c r="D839" s="2">
        <f ca="1">IFERROR(__xludf.DUMMYFUNCTION("""COMPUTED_VALUE"""),0)</f>
        <v>0</v>
      </c>
      <c r="E839" s="29">
        <f ca="1">IFERROR(__xludf.DUMMYFUNCTION("""COMPUTED_VALUE"""),0)</f>
        <v>0</v>
      </c>
      <c r="F839" s="30">
        <f ca="1">IFERROR(__xludf.DUMMYFUNCTION("""COMPUTED_VALUE"""),0)</f>
        <v>0</v>
      </c>
      <c r="G839" s="29">
        <f ca="1">IFERROR(__xludf.DUMMYFUNCTION("""COMPUTED_VALUE"""),0)</f>
        <v>0</v>
      </c>
      <c r="H839" s="30">
        <f ca="1">IFERROR(__xludf.DUMMYFUNCTION("""COMPUTED_VALUE"""),0)</f>
        <v>0</v>
      </c>
      <c r="I839" s="29">
        <f ca="1">IFERROR(__xludf.DUMMYFUNCTION("""COMPUTED_VALUE"""),0)</f>
        <v>0</v>
      </c>
      <c r="J839" s="29">
        <f ca="1">IFERROR(__xludf.DUMMYFUNCTION("""COMPUTED_VALUE"""),0)</f>
        <v>0</v>
      </c>
      <c r="K839" s="29">
        <f ca="1">IFERROR(__xludf.DUMMYFUNCTION("""COMPUTED_VALUE"""),6000)</f>
        <v>6000</v>
      </c>
      <c r="L839" s="29">
        <f ca="1">IFERROR(__xludf.DUMMYFUNCTION("""COMPUTED_VALUE"""),3)</f>
        <v>3</v>
      </c>
      <c r="M839" s="29">
        <f ca="1">IFERROR(__xludf.DUMMYFUNCTION("""COMPUTED_VALUE"""),0)</f>
        <v>0</v>
      </c>
      <c r="N839" s="29">
        <f ca="1">IFERROR(__xludf.DUMMYFUNCTION("""COMPUTED_VALUE"""),0)</f>
        <v>0</v>
      </c>
    </row>
    <row r="840" spans="2:14" ht="12.5">
      <c r="B840" s="2" t="str">
        <f ca="1">IFERROR(__xludf.DUMMYFUNCTION("""COMPUTED_VALUE"""),"小松川高")</f>
        <v>小松川高</v>
      </c>
      <c r="C840" s="2" t="str">
        <f ca="1">IFERROR(__xludf.DUMMYFUNCTION("""COMPUTED_VALUE"""),"#N/A")</f>
        <v>#N/A</v>
      </c>
      <c r="D840" s="2">
        <f ca="1">IFERROR(__xludf.DUMMYFUNCTION("""COMPUTED_VALUE"""),0)</f>
        <v>0</v>
      </c>
      <c r="E840" s="29">
        <f ca="1">IFERROR(__xludf.DUMMYFUNCTION("""COMPUTED_VALUE"""),0)</f>
        <v>0</v>
      </c>
      <c r="F840" s="30">
        <f ca="1">IFERROR(__xludf.DUMMYFUNCTION("""COMPUTED_VALUE"""),0)</f>
        <v>0</v>
      </c>
      <c r="G840" s="29">
        <f ca="1">IFERROR(__xludf.DUMMYFUNCTION("""COMPUTED_VALUE"""),0)</f>
        <v>0</v>
      </c>
      <c r="H840" s="30">
        <f ca="1">IFERROR(__xludf.DUMMYFUNCTION("""COMPUTED_VALUE"""),0)</f>
        <v>0</v>
      </c>
      <c r="I840" s="29">
        <f ca="1">IFERROR(__xludf.DUMMYFUNCTION("""COMPUTED_VALUE"""),0)</f>
        <v>0</v>
      </c>
      <c r="J840" s="29">
        <f ca="1">IFERROR(__xludf.DUMMYFUNCTION("""COMPUTED_VALUE"""),0)</f>
        <v>0</v>
      </c>
      <c r="K840" s="29">
        <f ca="1">IFERROR(__xludf.DUMMYFUNCTION("""COMPUTED_VALUE"""),2000)</f>
        <v>2000</v>
      </c>
      <c r="L840" s="29">
        <f ca="1">IFERROR(__xludf.DUMMYFUNCTION("""COMPUTED_VALUE"""),1)</f>
        <v>1</v>
      </c>
      <c r="M840" s="29">
        <f ca="1">IFERROR(__xludf.DUMMYFUNCTION("""COMPUTED_VALUE"""),0)</f>
        <v>0</v>
      </c>
      <c r="N840" s="29">
        <f ca="1">IFERROR(__xludf.DUMMYFUNCTION("""COMPUTED_VALUE"""),0)</f>
        <v>0</v>
      </c>
    </row>
    <row r="841" spans="2:14" ht="12.5">
      <c r="B841" s="2" t="str">
        <f ca="1">IFERROR(__xludf.DUMMYFUNCTION("""COMPUTED_VALUE"""),"仁愛女子高")</f>
        <v>仁愛女子高</v>
      </c>
      <c r="C841" s="2" t="str">
        <f ca="1">IFERROR(__xludf.DUMMYFUNCTION("""COMPUTED_VALUE"""),"#N/A")</f>
        <v>#N/A</v>
      </c>
      <c r="D841" s="2">
        <f ca="1">IFERROR(__xludf.DUMMYFUNCTION("""COMPUTED_VALUE"""),0)</f>
        <v>0</v>
      </c>
      <c r="E841" s="29">
        <f ca="1">IFERROR(__xludf.DUMMYFUNCTION("""COMPUTED_VALUE"""),0)</f>
        <v>0</v>
      </c>
      <c r="F841" s="30">
        <f ca="1">IFERROR(__xludf.DUMMYFUNCTION("""COMPUTED_VALUE"""),0)</f>
        <v>0</v>
      </c>
      <c r="G841" s="29">
        <f ca="1">IFERROR(__xludf.DUMMYFUNCTION("""COMPUTED_VALUE"""),0)</f>
        <v>0</v>
      </c>
      <c r="H841" s="30">
        <f ca="1">IFERROR(__xludf.DUMMYFUNCTION("""COMPUTED_VALUE"""),0)</f>
        <v>0</v>
      </c>
      <c r="I841" s="29">
        <f ca="1">IFERROR(__xludf.DUMMYFUNCTION("""COMPUTED_VALUE"""),0)</f>
        <v>0</v>
      </c>
      <c r="J841" s="29">
        <f ca="1">IFERROR(__xludf.DUMMYFUNCTION("""COMPUTED_VALUE"""),0)</f>
        <v>0</v>
      </c>
      <c r="K841" s="29">
        <f ca="1">IFERROR(__xludf.DUMMYFUNCTION("""COMPUTED_VALUE"""),2000)</f>
        <v>2000</v>
      </c>
      <c r="L841" s="29">
        <f ca="1">IFERROR(__xludf.DUMMYFUNCTION("""COMPUTED_VALUE"""),1)</f>
        <v>1</v>
      </c>
      <c r="M841" s="29">
        <f ca="1">IFERROR(__xludf.DUMMYFUNCTION("""COMPUTED_VALUE"""),0)</f>
        <v>0</v>
      </c>
      <c r="N841" s="29">
        <f ca="1">IFERROR(__xludf.DUMMYFUNCTION("""COMPUTED_VALUE"""),0)</f>
        <v>0</v>
      </c>
    </row>
    <row r="842" spans="2:14" ht="12.5">
      <c r="B842" s="2" t="str">
        <f ca="1">IFERROR(__xludf.DUMMYFUNCTION("""COMPUTED_VALUE"""),"大阪青凌高")</f>
        <v>大阪青凌高</v>
      </c>
      <c r="C842" s="2" t="str">
        <f ca="1">IFERROR(__xludf.DUMMYFUNCTION("""COMPUTED_VALUE"""),"#N/A")</f>
        <v>#N/A</v>
      </c>
      <c r="D842" s="2">
        <f ca="1">IFERROR(__xludf.DUMMYFUNCTION("""COMPUTED_VALUE"""),0)</f>
        <v>0</v>
      </c>
      <c r="E842" s="29">
        <f ca="1">IFERROR(__xludf.DUMMYFUNCTION("""COMPUTED_VALUE"""),0)</f>
        <v>0</v>
      </c>
      <c r="F842" s="30">
        <f ca="1">IFERROR(__xludf.DUMMYFUNCTION("""COMPUTED_VALUE"""),0)</f>
        <v>0</v>
      </c>
      <c r="G842" s="29">
        <f ca="1">IFERROR(__xludf.DUMMYFUNCTION("""COMPUTED_VALUE"""),0)</f>
        <v>0</v>
      </c>
      <c r="H842" s="30">
        <f ca="1">IFERROR(__xludf.DUMMYFUNCTION("""COMPUTED_VALUE"""),0)</f>
        <v>0</v>
      </c>
      <c r="I842" s="29">
        <f ca="1">IFERROR(__xludf.DUMMYFUNCTION("""COMPUTED_VALUE"""),0)</f>
        <v>0</v>
      </c>
      <c r="J842" s="29">
        <f ca="1">IFERROR(__xludf.DUMMYFUNCTION("""COMPUTED_VALUE"""),0)</f>
        <v>0</v>
      </c>
      <c r="K842" s="29">
        <f ca="1">IFERROR(__xludf.DUMMYFUNCTION("""COMPUTED_VALUE"""),2000)</f>
        <v>2000</v>
      </c>
      <c r="L842" s="29">
        <f ca="1">IFERROR(__xludf.DUMMYFUNCTION("""COMPUTED_VALUE"""),1)</f>
        <v>1</v>
      </c>
      <c r="M842" s="29">
        <f ca="1">IFERROR(__xludf.DUMMYFUNCTION("""COMPUTED_VALUE"""),0)</f>
        <v>0</v>
      </c>
      <c r="N842" s="29">
        <f ca="1">IFERROR(__xludf.DUMMYFUNCTION("""COMPUTED_VALUE"""),0)</f>
        <v>0</v>
      </c>
    </row>
    <row r="843" spans="2:14" ht="12.5">
      <c r="B843" s="2" t="str">
        <f ca="1">IFERROR(__xludf.DUMMYFUNCTION("""COMPUTED_VALUE"""),"泉陽高")</f>
        <v>泉陽高</v>
      </c>
      <c r="C843" s="2" t="str">
        <f ca="1">IFERROR(__xludf.DUMMYFUNCTION("""COMPUTED_VALUE"""),"#N/A")</f>
        <v>#N/A</v>
      </c>
      <c r="D843" s="2">
        <f ca="1">IFERROR(__xludf.DUMMYFUNCTION("""COMPUTED_VALUE"""),0)</f>
        <v>0</v>
      </c>
      <c r="E843" s="29">
        <f ca="1">IFERROR(__xludf.DUMMYFUNCTION("""COMPUTED_VALUE"""),0)</f>
        <v>0</v>
      </c>
      <c r="F843" s="30">
        <f ca="1">IFERROR(__xludf.DUMMYFUNCTION("""COMPUTED_VALUE"""),0)</f>
        <v>0</v>
      </c>
      <c r="G843" s="29">
        <f ca="1">IFERROR(__xludf.DUMMYFUNCTION("""COMPUTED_VALUE"""),0)</f>
        <v>0</v>
      </c>
      <c r="H843" s="30">
        <f ca="1">IFERROR(__xludf.DUMMYFUNCTION("""COMPUTED_VALUE"""),0)</f>
        <v>0</v>
      </c>
      <c r="I843" s="29">
        <f ca="1">IFERROR(__xludf.DUMMYFUNCTION("""COMPUTED_VALUE"""),0)</f>
        <v>0</v>
      </c>
      <c r="J843" s="29">
        <f ca="1">IFERROR(__xludf.DUMMYFUNCTION("""COMPUTED_VALUE"""),0)</f>
        <v>0</v>
      </c>
      <c r="K843" s="29">
        <f ca="1">IFERROR(__xludf.DUMMYFUNCTION("""COMPUTED_VALUE"""),2000)</f>
        <v>2000</v>
      </c>
      <c r="L843" s="29">
        <f ca="1">IFERROR(__xludf.DUMMYFUNCTION("""COMPUTED_VALUE"""),1)</f>
        <v>1</v>
      </c>
      <c r="M843" s="29">
        <f ca="1">IFERROR(__xludf.DUMMYFUNCTION("""COMPUTED_VALUE"""),0)</f>
        <v>0</v>
      </c>
      <c r="N843" s="29">
        <f ca="1">IFERROR(__xludf.DUMMYFUNCTION("""COMPUTED_VALUE"""),0)</f>
        <v>0</v>
      </c>
    </row>
    <row r="844" spans="2:14" ht="12.5">
      <c r="B844" s="2" t="str">
        <f ca="1">IFERROR(__xludf.DUMMYFUNCTION("""COMPUTED_VALUE"""),"葺合高")</f>
        <v>葺合高</v>
      </c>
      <c r="C844" s="2" t="str">
        <f ca="1">IFERROR(__xludf.DUMMYFUNCTION("""COMPUTED_VALUE"""),"#N/A")</f>
        <v>#N/A</v>
      </c>
      <c r="D844" s="2">
        <f ca="1">IFERROR(__xludf.DUMMYFUNCTION("""COMPUTED_VALUE"""),0)</f>
        <v>0</v>
      </c>
      <c r="E844" s="29">
        <f ca="1">IFERROR(__xludf.DUMMYFUNCTION("""COMPUTED_VALUE"""),0)</f>
        <v>0</v>
      </c>
      <c r="F844" s="30">
        <f ca="1">IFERROR(__xludf.DUMMYFUNCTION("""COMPUTED_VALUE"""),0)</f>
        <v>0</v>
      </c>
      <c r="G844" s="29">
        <f ca="1">IFERROR(__xludf.DUMMYFUNCTION("""COMPUTED_VALUE"""),0)</f>
        <v>0</v>
      </c>
      <c r="H844" s="30">
        <f ca="1">IFERROR(__xludf.DUMMYFUNCTION("""COMPUTED_VALUE"""),0)</f>
        <v>0</v>
      </c>
      <c r="I844" s="29">
        <f ca="1">IFERROR(__xludf.DUMMYFUNCTION("""COMPUTED_VALUE"""),0)</f>
        <v>0</v>
      </c>
      <c r="J844" s="29">
        <f ca="1">IFERROR(__xludf.DUMMYFUNCTION("""COMPUTED_VALUE"""),0)</f>
        <v>0</v>
      </c>
      <c r="K844" s="29">
        <f ca="1">IFERROR(__xludf.DUMMYFUNCTION("""COMPUTED_VALUE"""),2000)</f>
        <v>2000</v>
      </c>
      <c r="L844" s="29">
        <f ca="1">IFERROR(__xludf.DUMMYFUNCTION("""COMPUTED_VALUE"""),1)</f>
        <v>1</v>
      </c>
      <c r="M844" s="29">
        <f ca="1">IFERROR(__xludf.DUMMYFUNCTION("""COMPUTED_VALUE"""),0)</f>
        <v>0</v>
      </c>
      <c r="N844" s="29">
        <f ca="1">IFERROR(__xludf.DUMMYFUNCTION("""COMPUTED_VALUE"""),0)</f>
        <v>0</v>
      </c>
    </row>
    <row r="845" spans="2:14" ht="12.5">
      <c r="E845" s="29"/>
      <c r="F845" s="30"/>
      <c r="G845" s="29"/>
      <c r="H845" s="30"/>
      <c r="I845" s="29"/>
      <c r="J845" s="29"/>
      <c r="K845" s="29"/>
      <c r="L845" s="29"/>
      <c r="M845" s="29"/>
      <c r="N845" s="29"/>
    </row>
    <row r="846" spans="2:14" ht="12.5">
      <c r="E846" s="29"/>
      <c r="F846" s="30"/>
      <c r="G846" s="29"/>
      <c r="H846" s="30"/>
      <c r="I846" s="29"/>
      <c r="J846" s="29"/>
      <c r="K846" s="29"/>
      <c r="L846" s="29"/>
      <c r="M846" s="29"/>
      <c r="N846" s="29"/>
    </row>
    <row r="847" spans="2:14" ht="12.5">
      <c r="E847" s="29"/>
      <c r="F847" s="30"/>
      <c r="G847" s="29"/>
      <c r="H847" s="30"/>
      <c r="I847" s="29"/>
      <c r="J847" s="29"/>
      <c r="K847" s="29"/>
      <c r="L847" s="29"/>
      <c r="M847" s="29"/>
      <c r="N847" s="29"/>
    </row>
    <row r="848" spans="2:14" ht="12.5">
      <c r="E848" s="29"/>
      <c r="F848" s="30"/>
      <c r="G848" s="29"/>
      <c r="H848" s="30"/>
      <c r="I848" s="29"/>
      <c r="J848" s="29"/>
      <c r="K848" s="29"/>
      <c r="L848" s="29"/>
      <c r="M848" s="29"/>
      <c r="N848" s="29"/>
    </row>
    <row r="849" spans="5:14" ht="12.5">
      <c r="E849" s="29"/>
      <c r="F849" s="30"/>
      <c r="G849" s="29"/>
      <c r="H849" s="30"/>
      <c r="I849" s="29"/>
      <c r="J849" s="29"/>
      <c r="K849" s="29"/>
      <c r="L849" s="29"/>
      <c r="M849" s="29"/>
      <c r="N849" s="29"/>
    </row>
    <row r="850" spans="5:14" ht="12.5">
      <c r="E850" s="29"/>
      <c r="F850" s="30"/>
      <c r="G850" s="29"/>
      <c r="H850" s="30"/>
      <c r="I850" s="29"/>
      <c r="J850" s="29"/>
      <c r="K850" s="29"/>
      <c r="L850" s="29"/>
      <c r="M850" s="29"/>
      <c r="N850" s="29"/>
    </row>
    <row r="851" spans="5:14" ht="12.5">
      <c r="E851" s="29"/>
      <c r="F851" s="30"/>
      <c r="G851" s="29"/>
      <c r="H851" s="30"/>
      <c r="I851" s="29"/>
      <c r="J851" s="29"/>
      <c r="K851" s="29"/>
      <c r="L851" s="29"/>
      <c r="M851" s="29"/>
      <c r="N851" s="29"/>
    </row>
    <row r="852" spans="5:14" ht="12.5">
      <c r="E852" s="29"/>
      <c r="F852" s="30"/>
      <c r="G852" s="29"/>
      <c r="H852" s="30"/>
      <c r="I852" s="29"/>
      <c r="J852" s="29"/>
      <c r="K852" s="29"/>
      <c r="L852" s="29"/>
      <c r="M852" s="29"/>
      <c r="N852" s="29"/>
    </row>
    <row r="853" spans="5:14" ht="12.5">
      <c r="E853" s="29"/>
      <c r="F853" s="30"/>
      <c r="G853" s="29"/>
      <c r="H853" s="30"/>
      <c r="I853" s="29"/>
      <c r="J853" s="29"/>
      <c r="K853" s="29"/>
      <c r="L853" s="29"/>
      <c r="M853" s="29"/>
      <c r="N853" s="29"/>
    </row>
    <row r="854" spans="5:14" ht="12.5">
      <c r="E854" s="29"/>
      <c r="F854" s="30"/>
      <c r="G854" s="29"/>
      <c r="H854" s="30"/>
      <c r="I854" s="29"/>
      <c r="J854" s="29"/>
      <c r="K854" s="29"/>
      <c r="L854" s="29"/>
      <c r="M854" s="29"/>
      <c r="N854" s="29"/>
    </row>
    <row r="855" spans="5:14" ht="12.5">
      <c r="E855" s="29"/>
      <c r="F855" s="30"/>
      <c r="G855" s="29"/>
      <c r="H855" s="30"/>
      <c r="I855" s="29"/>
      <c r="J855" s="29"/>
      <c r="K855" s="29"/>
      <c r="L855" s="29"/>
      <c r="M855" s="29"/>
      <c r="N855" s="29"/>
    </row>
    <row r="856" spans="5:14" ht="12.5">
      <c r="E856" s="29"/>
      <c r="F856" s="30"/>
      <c r="G856" s="29"/>
      <c r="H856" s="30"/>
      <c r="I856" s="29"/>
      <c r="J856" s="29"/>
      <c r="K856" s="29"/>
      <c r="L856" s="29"/>
      <c r="M856" s="29"/>
      <c r="N856" s="29"/>
    </row>
    <row r="857" spans="5:14" ht="12.5">
      <c r="E857" s="29"/>
      <c r="F857" s="30"/>
      <c r="G857" s="29"/>
      <c r="H857" s="30"/>
      <c r="I857" s="29"/>
      <c r="J857" s="29"/>
      <c r="K857" s="29"/>
      <c r="L857" s="29"/>
      <c r="M857" s="29"/>
      <c r="N857" s="29"/>
    </row>
    <row r="858" spans="5:14" ht="12.5">
      <c r="E858" s="29"/>
      <c r="F858" s="30"/>
      <c r="G858" s="29"/>
      <c r="H858" s="30"/>
      <c r="I858" s="29"/>
      <c r="J858" s="29"/>
      <c r="K858" s="29"/>
      <c r="L858" s="29"/>
      <c r="M858" s="29"/>
      <c r="N858" s="29"/>
    </row>
    <row r="859" spans="5:14" ht="12.5">
      <c r="E859" s="29"/>
      <c r="F859" s="30"/>
      <c r="G859" s="29"/>
      <c r="H859" s="30"/>
      <c r="I859" s="29"/>
      <c r="J859" s="29"/>
      <c r="K859" s="29"/>
      <c r="L859" s="29"/>
      <c r="M859" s="29"/>
      <c r="N859" s="29"/>
    </row>
    <row r="860" spans="5:14" ht="12.5">
      <c r="E860" s="29"/>
      <c r="F860" s="30"/>
      <c r="G860" s="29"/>
      <c r="H860" s="30"/>
      <c r="I860" s="29"/>
      <c r="J860" s="29"/>
      <c r="K860" s="29"/>
      <c r="L860" s="29"/>
      <c r="M860" s="29"/>
      <c r="N860" s="29"/>
    </row>
    <row r="861" spans="5:14" ht="12.5">
      <c r="E861" s="29"/>
      <c r="F861" s="30"/>
      <c r="G861" s="29"/>
      <c r="H861" s="30"/>
      <c r="I861" s="29"/>
      <c r="J861" s="29"/>
      <c r="K861" s="29"/>
      <c r="L861" s="29"/>
      <c r="M861" s="29"/>
      <c r="N861" s="29"/>
    </row>
    <row r="862" spans="5:14" ht="12.5">
      <c r="E862" s="29"/>
      <c r="F862" s="30"/>
      <c r="G862" s="29"/>
      <c r="H862" s="30"/>
      <c r="I862" s="29"/>
      <c r="J862" s="29"/>
      <c r="K862" s="29"/>
      <c r="L862" s="29"/>
      <c r="M862" s="29"/>
      <c r="N862" s="29"/>
    </row>
    <row r="863" spans="5:14" ht="12.5">
      <c r="E863" s="29"/>
      <c r="F863" s="30"/>
      <c r="G863" s="29"/>
      <c r="H863" s="30"/>
      <c r="I863" s="29"/>
      <c r="J863" s="29"/>
      <c r="K863" s="29"/>
      <c r="L863" s="29"/>
      <c r="M863" s="29"/>
      <c r="N863" s="29"/>
    </row>
    <row r="864" spans="5:14" ht="12.5">
      <c r="E864" s="29"/>
      <c r="F864" s="30"/>
      <c r="G864" s="29"/>
      <c r="H864" s="30"/>
      <c r="I864" s="29"/>
      <c r="J864" s="29"/>
      <c r="K864" s="29"/>
      <c r="L864" s="29"/>
      <c r="M864" s="29"/>
      <c r="N864" s="29"/>
    </row>
    <row r="865" spans="5:14" ht="12.5">
      <c r="E865" s="29"/>
      <c r="F865" s="30"/>
      <c r="G865" s="29"/>
      <c r="H865" s="30"/>
      <c r="I865" s="29"/>
      <c r="J865" s="29"/>
      <c r="K865" s="29"/>
      <c r="L865" s="29"/>
      <c r="M865" s="29"/>
      <c r="N865" s="29"/>
    </row>
    <row r="866" spans="5:14" ht="12.5">
      <c r="E866" s="29"/>
      <c r="F866" s="30"/>
      <c r="G866" s="29"/>
      <c r="H866" s="30"/>
      <c r="I866" s="29"/>
      <c r="J866" s="29"/>
      <c r="K866" s="29"/>
      <c r="L866" s="29"/>
      <c r="M866" s="29"/>
      <c r="N866" s="29"/>
    </row>
    <row r="867" spans="5:14" ht="12.5">
      <c r="E867" s="29"/>
      <c r="F867" s="30"/>
      <c r="G867" s="29"/>
      <c r="H867" s="30"/>
      <c r="I867" s="29"/>
      <c r="J867" s="29"/>
      <c r="K867" s="29"/>
      <c r="L867" s="29"/>
      <c r="M867" s="29"/>
      <c r="N867" s="29"/>
    </row>
    <row r="868" spans="5:14" ht="12.5">
      <c r="E868" s="29"/>
      <c r="F868" s="30"/>
      <c r="G868" s="29"/>
      <c r="H868" s="30"/>
      <c r="I868" s="29"/>
      <c r="J868" s="29"/>
      <c r="K868" s="29"/>
      <c r="L868" s="29"/>
      <c r="M868" s="29"/>
      <c r="N868" s="29"/>
    </row>
    <row r="869" spans="5:14" ht="12.5">
      <c r="E869" s="29"/>
      <c r="F869" s="30"/>
      <c r="G869" s="29"/>
      <c r="H869" s="30"/>
      <c r="I869" s="29"/>
      <c r="J869" s="29"/>
      <c r="K869" s="29"/>
      <c r="L869" s="29"/>
      <c r="M869" s="29"/>
      <c r="N869" s="29"/>
    </row>
    <row r="870" spans="5:14" ht="12.5">
      <c r="E870" s="29"/>
      <c r="F870" s="30"/>
      <c r="G870" s="29"/>
      <c r="H870" s="30"/>
      <c r="I870" s="29"/>
      <c r="J870" s="29"/>
      <c r="K870" s="29"/>
      <c r="L870" s="29"/>
      <c r="M870" s="29"/>
      <c r="N870" s="29"/>
    </row>
    <row r="871" spans="5:14" ht="12.5">
      <c r="E871" s="29"/>
      <c r="F871" s="30"/>
      <c r="G871" s="29"/>
      <c r="H871" s="30"/>
      <c r="I871" s="29"/>
      <c r="J871" s="29"/>
      <c r="K871" s="29"/>
      <c r="L871" s="29"/>
      <c r="M871" s="29"/>
      <c r="N871" s="29"/>
    </row>
    <row r="872" spans="5:14" ht="12.5">
      <c r="E872" s="29"/>
      <c r="F872" s="30"/>
      <c r="G872" s="29"/>
      <c r="H872" s="30"/>
      <c r="I872" s="29"/>
      <c r="J872" s="29"/>
      <c r="K872" s="29"/>
      <c r="L872" s="29"/>
      <c r="M872" s="29"/>
      <c r="N872" s="29"/>
    </row>
    <row r="873" spans="5:14" ht="12.5">
      <c r="E873" s="29"/>
      <c r="F873" s="30"/>
      <c r="G873" s="29"/>
      <c r="H873" s="30"/>
      <c r="I873" s="29"/>
      <c r="J873" s="29"/>
      <c r="K873" s="29"/>
      <c r="L873" s="29"/>
      <c r="M873" s="29"/>
      <c r="N873" s="29"/>
    </row>
    <row r="874" spans="5:14" ht="12.5">
      <c r="E874" s="29"/>
      <c r="F874" s="30"/>
      <c r="G874" s="29"/>
      <c r="H874" s="30"/>
      <c r="I874" s="29"/>
      <c r="J874" s="29"/>
      <c r="K874" s="29"/>
      <c r="L874" s="29"/>
      <c r="M874" s="29"/>
      <c r="N874" s="29"/>
    </row>
    <row r="875" spans="5:14" ht="12.5">
      <c r="E875" s="29"/>
      <c r="F875" s="30"/>
      <c r="G875" s="29"/>
      <c r="H875" s="30"/>
      <c r="I875" s="29"/>
      <c r="J875" s="29"/>
      <c r="K875" s="29"/>
      <c r="L875" s="29"/>
      <c r="M875" s="29"/>
      <c r="N875" s="29"/>
    </row>
    <row r="876" spans="5:14" ht="12.5">
      <c r="E876" s="29"/>
      <c r="F876" s="30"/>
      <c r="G876" s="29"/>
      <c r="H876" s="30"/>
      <c r="I876" s="29"/>
      <c r="J876" s="29"/>
      <c r="K876" s="29"/>
      <c r="L876" s="29"/>
      <c r="M876" s="29"/>
      <c r="N876" s="29"/>
    </row>
    <row r="877" spans="5:14" ht="12.5">
      <c r="E877" s="29"/>
      <c r="F877" s="30"/>
      <c r="G877" s="29"/>
      <c r="H877" s="30"/>
      <c r="I877" s="29"/>
      <c r="J877" s="29"/>
      <c r="K877" s="29"/>
      <c r="L877" s="29"/>
      <c r="M877" s="29"/>
      <c r="N877" s="29"/>
    </row>
    <row r="878" spans="5:14" ht="12.5">
      <c r="E878" s="29"/>
      <c r="F878" s="30"/>
      <c r="G878" s="29"/>
      <c r="H878" s="30"/>
      <c r="I878" s="29"/>
      <c r="J878" s="29"/>
      <c r="K878" s="29"/>
      <c r="L878" s="29"/>
      <c r="M878" s="29"/>
      <c r="N878" s="29"/>
    </row>
    <row r="879" spans="5:14" ht="12.5">
      <c r="E879" s="29"/>
      <c r="F879" s="30"/>
      <c r="G879" s="29"/>
      <c r="H879" s="30"/>
      <c r="I879" s="29"/>
      <c r="J879" s="29"/>
      <c r="K879" s="29"/>
      <c r="L879" s="29"/>
      <c r="M879" s="29"/>
      <c r="N879" s="29"/>
    </row>
    <row r="880" spans="5:14" ht="12.5">
      <c r="E880" s="29"/>
      <c r="F880" s="30"/>
      <c r="G880" s="29"/>
      <c r="H880" s="30"/>
      <c r="I880" s="29"/>
      <c r="J880" s="29"/>
      <c r="K880" s="29"/>
      <c r="L880" s="29"/>
      <c r="M880" s="29"/>
      <c r="N880" s="29"/>
    </row>
    <row r="881" spans="5:14" ht="12.5">
      <c r="E881" s="29"/>
      <c r="F881" s="30"/>
      <c r="G881" s="29"/>
      <c r="H881" s="30"/>
      <c r="I881" s="29"/>
      <c r="J881" s="29"/>
      <c r="K881" s="29"/>
      <c r="L881" s="29"/>
      <c r="M881" s="29"/>
      <c r="N881" s="29"/>
    </row>
    <row r="882" spans="5:14" ht="12.5">
      <c r="E882" s="29"/>
      <c r="F882" s="30"/>
      <c r="G882" s="29"/>
      <c r="H882" s="30"/>
      <c r="I882" s="29"/>
      <c r="J882" s="29"/>
      <c r="K882" s="29"/>
      <c r="L882" s="29"/>
      <c r="M882" s="29"/>
      <c r="N882" s="29"/>
    </row>
    <row r="883" spans="5:14" ht="12.5">
      <c r="E883" s="29"/>
      <c r="F883" s="30"/>
      <c r="G883" s="29"/>
      <c r="H883" s="30"/>
      <c r="I883" s="29"/>
      <c r="J883" s="29"/>
      <c r="K883" s="29"/>
      <c r="L883" s="29"/>
      <c r="M883" s="29"/>
      <c r="N883" s="29"/>
    </row>
    <row r="884" spans="5:14" ht="12.5">
      <c r="E884" s="29"/>
      <c r="F884" s="30"/>
      <c r="G884" s="29"/>
      <c r="H884" s="30"/>
      <c r="I884" s="29"/>
      <c r="J884" s="29"/>
      <c r="K884" s="29"/>
      <c r="L884" s="29"/>
      <c r="M884" s="29"/>
      <c r="N884" s="29"/>
    </row>
    <row r="885" spans="5:14" ht="12.5">
      <c r="E885" s="29"/>
      <c r="F885" s="30"/>
      <c r="G885" s="29"/>
      <c r="H885" s="30"/>
      <c r="I885" s="29"/>
      <c r="J885" s="29"/>
      <c r="K885" s="29"/>
      <c r="L885" s="29"/>
      <c r="M885" s="29"/>
      <c r="N885" s="29"/>
    </row>
    <row r="886" spans="5:14" ht="12.5">
      <c r="E886" s="29"/>
      <c r="F886" s="30"/>
      <c r="G886" s="29"/>
      <c r="H886" s="30"/>
      <c r="I886" s="29"/>
      <c r="J886" s="29"/>
      <c r="K886" s="29"/>
      <c r="L886" s="29"/>
      <c r="M886" s="29"/>
      <c r="N886" s="29"/>
    </row>
    <row r="887" spans="5:14" ht="12.5">
      <c r="E887" s="29"/>
      <c r="F887" s="30"/>
      <c r="G887" s="29"/>
      <c r="H887" s="30"/>
      <c r="I887" s="29"/>
      <c r="J887" s="29"/>
      <c r="K887" s="29"/>
      <c r="L887" s="29"/>
      <c r="M887" s="29"/>
      <c r="N887" s="29"/>
    </row>
    <row r="888" spans="5:14" ht="12.5">
      <c r="E888" s="29"/>
      <c r="F888" s="30"/>
      <c r="G888" s="29"/>
      <c r="H888" s="30"/>
      <c r="I888" s="29"/>
      <c r="J888" s="29"/>
      <c r="K888" s="29"/>
      <c r="L888" s="29"/>
      <c r="M888" s="29"/>
      <c r="N888" s="29"/>
    </row>
    <row r="889" spans="5:14" ht="12.5">
      <c r="E889" s="29"/>
      <c r="F889" s="30"/>
      <c r="G889" s="29"/>
      <c r="H889" s="30"/>
      <c r="I889" s="29"/>
      <c r="J889" s="29"/>
      <c r="K889" s="29"/>
      <c r="L889" s="29"/>
      <c r="M889" s="29"/>
      <c r="N889" s="29"/>
    </row>
    <row r="890" spans="5:14" ht="12.5">
      <c r="E890" s="29"/>
      <c r="F890" s="30"/>
      <c r="G890" s="29"/>
      <c r="H890" s="30"/>
      <c r="I890" s="29"/>
      <c r="J890" s="29"/>
      <c r="K890" s="29"/>
      <c r="L890" s="29"/>
      <c r="M890" s="29"/>
      <c r="N890" s="29"/>
    </row>
    <row r="891" spans="5:14" ht="12.5">
      <c r="E891" s="29"/>
      <c r="F891" s="30"/>
      <c r="G891" s="29"/>
      <c r="H891" s="30"/>
      <c r="I891" s="29"/>
      <c r="J891" s="29"/>
      <c r="K891" s="29"/>
      <c r="L891" s="29"/>
      <c r="M891" s="29"/>
      <c r="N891" s="29"/>
    </row>
    <row r="892" spans="5:14" ht="12.5">
      <c r="E892" s="29"/>
      <c r="F892" s="30"/>
      <c r="G892" s="29"/>
      <c r="H892" s="30"/>
      <c r="I892" s="29"/>
      <c r="J892" s="29"/>
      <c r="K892" s="29"/>
      <c r="L892" s="29"/>
      <c r="M892" s="29"/>
      <c r="N892" s="29"/>
    </row>
    <row r="893" spans="5:14" ht="12.5">
      <c r="E893" s="29"/>
      <c r="F893" s="30"/>
      <c r="G893" s="29"/>
      <c r="H893" s="30"/>
      <c r="I893" s="29"/>
      <c r="J893" s="29"/>
      <c r="K893" s="29"/>
      <c r="L893" s="29"/>
      <c r="M893" s="29"/>
      <c r="N893" s="29"/>
    </row>
    <row r="894" spans="5:14" ht="12.5">
      <c r="E894" s="29"/>
      <c r="F894" s="30"/>
      <c r="G894" s="29"/>
      <c r="H894" s="30"/>
      <c r="I894" s="29"/>
      <c r="J894" s="29"/>
      <c r="K894" s="29"/>
      <c r="L894" s="29"/>
      <c r="M894" s="29"/>
      <c r="N894" s="29"/>
    </row>
    <row r="895" spans="5:14" ht="12.5">
      <c r="E895" s="29"/>
      <c r="F895" s="30"/>
      <c r="G895" s="29"/>
      <c r="H895" s="30"/>
      <c r="I895" s="29"/>
      <c r="J895" s="29"/>
      <c r="K895" s="29"/>
      <c r="L895" s="29"/>
      <c r="M895" s="29"/>
      <c r="N895" s="29"/>
    </row>
    <row r="896" spans="5:14" ht="12.5">
      <c r="E896" s="29"/>
      <c r="F896" s="30"/>
      <c r="G896" s="29"/>
      <c r="H896" s="30"/>
      <c r="I896" s="29"/>
      <c r="J896" s="29"/>
      <c r="K896" s="29"/>
      <c r="L896" s="29"/>
      <c r="M896" s="29"/>
      <c r="N896" s="29"/>
    </row>
    <row r="897" spans="5:14" ht="12.5">
      <c r="E897" s="29"/>
      <c r="F897" s="30"/>
      <c r="G897" s="29"/>
      <c r="H897" s="30"/>
      <c r="I897" s="29"/>
      <c r="J897" s="29"/>
      <c r="K897" s="29"/>
      <c r="L897" s="29"/>
      <c r="M897" s="29"/>
      <c r="N897" s="29"/>
    </row>
    <row r="898" spans="5:14" ht="12.5">
      <c r="E898" s="29"/>
      <c r="F898" s="30"/>
      <c r="G898" s="29"/>
      <c r="H898" s="30"/>
      <c r="I898" s="29"/>
      <c r="J898" s="29"/>
      <c r="K898" s="29"/>
      <c r="L898" s="29"/>
      <c r="M898" s="29"/>
      <c r="N898" s="29"/>
    </row>
    <row r="899" spans="5:14" ht="12.5">
      <c r="E899" s="29"/>
      <c r="F899" s="30"/>
      <c r="G899" s="29"/>
      <c r="H899" s="30"/>
      <c r="I899" s="29"/>
      <c r="J899" s="29"/>
      <c r="K899" s="29"/>
      <c r="L899" s="29"/>
      <c r="M899" s="29"/>
      <c r="N899" s="29"/>
    </row>
    <row r="900" spans="5:14" ht="12.5">
      <c r="E900" s="29"/>
      <c r="F900" s="30"/>
      <c r="G900" s="29"/>
      <c r="H900" s="30"/>
      <c r="I900" s="29"/>
      <c r="J900" s="29"/>
      <c r="K900" s="29"/>
      <c r="L900" s="29"/>
      <c r="M900" s="29"/>
      <c r="N900" s="29"/>
    </row>
    <row r="901" spans="5:14" ht="12.5">
      <c r="E901" s="29"/>
      <c r="F901" s="30"/>
      <c r="G901" s="29"/>
      <c r="H901" s="30"/>
      <c r="I901" s="29"/>
      <c r="J901" s="29"/>
      <c r="K901" s="29"/>
      <c r="L901" s="29"/>
      <c r="M901" s="29"/>
      <c r="N901" s="29"/>
    </row>
    <row r="902" spans="5:14" ht="12.5">
      <c r="E902" s="29"/>
      <c r="F902" s="30"/>
      <c r="G902" s="29"/>
      <c r="H902" s="30"/>
      <c r="I902" s="29"/>
      <c r="J902" s="29"/>
      <c r="K902" s="29"/>
      <c r="L902" s="29"/>
      <c r="M902" s="29"/>
      <c r="N902" s="29"/>
    </row>
    <row r="903" spans="5:14" ht="12.5">
      <c r="E903" s="29"/>
      <c r="F903" s="30"/>
      <c r="G903" s="29"/>
      <c r="H903" s="30"/>
      <c r="I903" s="29"/>
      <c r="J903" s="29"/>
      <c r="K903" s="29"/>
      <c r="L903" s="29"/>
      <c r="M903" s="29"/>
      <c r="N903" s="29"/>
    </row>
    <row r="904" spans="5:14" ht="12.5">
      <c r="E904" s="29"/>
      <c r="F904" s="30"/>
      <c r="G904" s="29"/>
      <c r="H904" s="30"/>
      <c r="I904" s="29"/>
      <c r="J904" s="29"/>
      <c r="K904" s="29"/>
      <c r="L904" s="29"/>
      <c r="M904" s="29"/>
      <c r="N904" s="29"/>
    </row>
    <row r="905" spans="5:14" ht="12.5">
      <c r="E905" s="29"/>
      <c r="F905" s="30"/>
      <c r="G905" s="29"/>
      <c r="H905" s="30"/>
      <c r="I905" s="29"/>
      <c r="J905" s="29"/>
      <c r="K905" s="29"/>
      <c r="L905" s="29"/>
      <c r="M905" s="29"/>
      <c r="N905" s="29"/>
    </row>
    <row r="906" spans="5:14" ht="12.5">
      <c r="E906" s="29"/>
      <c r="F906" s="30"/>
      <c r="G906" s="29"/>
      <c r="H906" s="30"/>
      <c r="I906" s="29"/>
      <c r="J906" s="29"/>
      <c r="K906" s="29"/>
      <c r="L906" s="29"/>
      <c r="M906" s="29"/>
      <c r="N906" s="29"/>
    </row>
    <row r="907" spans="5:14" ht="12.5">
      <c r="E907" s="29"/>
      <c r="F907" s="30"/>
      <c r="G907" s="29"/>
      <c r="H907" s="30"/>
      <c r="I907" s="29"/>
      <c r="J907" s="29"/>
      <c r="K907" s="29"/>
      <c r="L907" s="29"/>
      <c r="M907" s="29"/>
      <c r="N907" s="29"/>
    </row>
    <row r="908" spans="5:14" ht="12.5">
      <c r="E908" s="29"/>
      <c r="F908" s="30"/>
      <c r="G908" s="29"/>
      <c r="H908" s="30"/>
      <c r="I908" s="29"/>
      <c r="J908" s="29"/>
      <c r="K908" s="29"/>
      <c r="L908" s="29"/>
      <c r="M908" s="29"/>
      <c r="N908" s="29"/>
    </row>
    <row r="909" spans="5:14" ht="12.5">
      <c r="E909" s="29"/>
      <c r="F909" s="30"/>
      <c r="G909" s="29"/>
      <c r="H909" s="30"/>
      <c r="I909" s="29"/>
      <c r="J909" s="29"/>
      <c r="K909" s="29"/>
      <c r="L909" s="29"/>
      <c r="M909" s="29"/>
      <c r="N909" s="29"/>
    </row>
    <row r="910" spans="5:14" ht="12.5">
      <c r="E910" s="29"/>
      <c r="F910" s="30"/>
      <c r="G910" s="29"/>
      <c r="H910" s="30"/>
      <c r="I910" s="29"/>
      <c r="J910" s="29"/>
      <c r="K910" s="29"/>
      <c r="L910" s="29"/>
      <c r="M910" s="29"/>
      <c r="N910" s="29"/>
    </row>
    <row r="911" spans="5:14" ht="12.5">
      <c r="E911" s="29"/>
      <c r="F911" s="30"/>
      <c r="G911" s="29"/>
      <c r="H911" s="30"/>
      <c r="I911" s="29"/>
      <c r="J911" s="29"/>
      <c r="K911" s="29"/>
      <c r="L911" s="29"/>
      <c r="M911" s="29"/>
      <c r="N911" s="29"/>
    </row>
    <row r="912" spans="5:14" ht="12.5">
      <c r="E912" s="29"/>
      <c r="F912" s="30"/>
      <c r="G912" s="29"/>
      <c r="H912" s="30"/>
      <c r="I912" s="29"/>
      <c r="J912" s="29"/>
      <c r="K912" s="29"/>
      <c r="L912" s="29"/>
      <c r="M912" s="29"/>
      <c r="N912" s="29"/>
    </row>
    <row r="913" spans="5:14" ht="12.5">
      <c r="E913" s="29"/>
      <c r="F913" s="30"/>
      <c r="G913" s="29"/>
      <c r="H913" s="30"/>
      <c r="I913" s="29"/>
      <c r="J913" s="29"/>
      <c r="K913" s="29"/>
      <c r="L913" s="29"/>
      <c r="M913" s="29"/>
      <c r="N913" s="29"/>
    </row>
    <row r="914" spans="5:14" ht="12.5">
      <c r="E914" s="29"/>
      <c r="F914" s="30"/>
      <c r="G914" s="29"/>
      <c r="H914" s="30"/>
      <c r="I914" s="29"/>
      <c r="J914" s="29"/>
      <c r="K914" s="29"/>
      <c r="L914" s="29"/>
      <c r="M914" s="29"/>
      <c r="N914" s="29"/>
    </row>
    <row r="915" spans="5:14" ht="12.5">
      <c r="E915" s="29"/>
      <c r="F915" s="30"/>
      <c r="G915" s="29"/>
      <c r="H915" s="30"/>
      <c r="I915" s="29"/>
      <c r="J915" s="29"/>
      <c r="K915" s="29"/>
      <c r="L915" s="29"/>
      <c r="M915" s="29"/>
      <c r="N915" s="29"/>
    </row>
    <row r="916" spans="5:14" ht="12.5">
      <c r="E916" s="29"/>
      <c r="F916" s="30"/>
      <c r="G916" s="29"/>
      <c r="H916" s="30"/>
      <c r="I916" s="29"/>
      <c r="J916" s="29"/>
      <c r="K916" s="29"/>
      <c r="L916" s="29"/>
      <c r="M916" s="29"/>
      <c r="N916" s="29"/>
    </row>
    <row r="917" spans="5:14" ht="12.5">
      <c r="E917" s="29"/>
      <c r="F917" s="30"/>
      <c r="G917" s="29"/>
      <c r="H917" s="30"/>
      <c r="I917" s="29"/>
      <c r="J917" s="29"/>
      <c r="K917" s="29"/>
      <c r="L917" s="29"/>
      <c r="M917" s="29"/>
      <c r="N917" s="29"/>
    </row>
    <row r="918" spans="5:14" ht="12.5">
      <c r="E918" s="29"/>
      <c r="F918" s="30"/>
      <c r="G918" s="29"/>
      <c r="H918" s="30"/>
      <c r="I918" s="29"/>
      <c r="J918" s="29"/>
      <c r="K918" s="29"/>
      <c r="L918" s="29"/>
      <c r="M918" s="29"/>
      <c r="N918" s="29"/>
    </row>
    <row r="919" spans="5:14" ht="12.5">
      <c r="E919" s="29"/>
      <c r="F919" s="30"/>
      <c r="G919" s="29"/>
      <c r="H919" s="30"/>
      <c r="I919" s="29"/>
      <c r="J919" s="29"/>
      <c r="K919" s="29"/>
      <c r="L919" s="29"/>
      <c r="M919" s="29"/>
      <c r="N919" s="29"/>
    </row>
    <row r="920" spans="5:14" ht="12.5">
      <c r="E920" s="29"/>
      <c r="F920" s="30"/>
      <c r="G920" s="29"/>
      <c r="H920" s="30"/>
      <c r="I920" s="29"/>
      <c r="J920" s="29"/>
      <c r="K920" s="29"/>
      <c r="L920" s="29"/>
      <c r="M920" s="29"/>
      <c r="N920" s="29"/>
    </row>
    <row r="921" spans="5:14" ht="12.5">
      <c r="E921" s="29"/>
      <c r="F921" s="30"/>
      <c r="G921" s="29"/>
      <c r="H921" s="30"/>
      <c r="I921" s="29"/>
      <c r="J921" s="29"/>
      <c r="K921" s="29"/>
      <c r="L921" s="29"/>
      <c r="M921" s="29"/>
      <c r="N921" s="29"/>
    </row>
    <row r="922" spans="5:14" ht="12.5">
      <c r="E922" s="29"/>
      <c r="F922" s="30"/>
      <c r="G922" s="29"/>
      <c r="H922" s="30"/>
      <c r="I922" s="29"/>
      <c r="J922" s="29"/>
      <c r="K922" s="29"/>
      <c r="L922" s="29"/>
      <c r="M922" s="29"/>
      <c r="N922" s="29"/>
    </row>
    <row r="923" spans="5:14" ht="12.5">
      <c r="E923" s="29"/>
      <c r="F923" s="30"/>
      <c r="G923" s="29"/>
      <c r="H923" s="30"/>
      <c r="I923" s="29"/>
      <c r="J923" s="29"/>
      <c r="K923" s="29"/>
      <c r="L923" s="29"/>
      <c r="M923" s="29"/>
      <c r="N923" s="29"/>
    </row>
    <row r="924" spans="5:14" ht="12.5">
      <c r="E924" s="29"/>
      <c r="F924" s="30"/>
      <c r="G924" s="29"/>
      <c r="H924" s="30"/>
      <c r="I924" s="29"/>
      <c r="J924" s="29"/>
      <c r="K924" s="29"/>
      <c r="L924" s="29"/>
      <c r="M924" s="29"/>
      <c r="N924" s="29"/>
    </row>
    <row r="925" spans="5:14" ht="12.5">
      <c r="E925" s="29"/>
      <c r="F925" s="30"/>
      <c r="G925" s="29"/>
      <c r="H925" s="30"/>
      <c r="I925" s="29"/>
      <c r="J925" s="29"/>
      <c r="K925" s="29"/>
      <c r="L925" s="29"/>
      <c r="M925" s="29"/>
      <c r="N925" s="29"/>
    </row>
    <row r="926" spans="5:14" ht="12.5">
      <c r="E926" s="29"/>
      <c r="F926" s="30"/>
      <c r="G926" s="29"/>
      <c r="H926" s="30"/>
      <c r="I926" s="29"/>
      <c r="J926" s="29"/>
      <c r="K926" s="29"/>
      <c r="L926" s="29"/>
      <c r="M926" s="29"/>
      <c r="N926" s="29"/>
    </row>
    <row r="927" spans="5:14" ht="12.5">
      <c r="E927" s="29"/>
      <c r="F927" s="30"/>
      <c r="G927" s="29"/>
      <c r="H927" s="30"/>
      <c r="I927" s="29"/>
      <c r="J927" s="29"/>
      <c r="K927" s="29"/>
      <c r="L927" s="29"/>
      <c r="M927" s="29"/>
      <c r="N927" s="29"/>
    </row>
    <row r="928" spans="5:14" ht="12.5">
      <c r="E928" s="29"/>
      <c r="F928" s="30"/>
      <c r="G928" s="29"/>
      <c r="H928" s="30"/>
      <c r="I928" s="29"/>
      <c r="J928" s="29"/>
      <c r="K928" s="29"/>
      <c r="L928" s="29"/>
      <c r="M928" s="29"/>
      <c r="N928" s="29"/>
    </row>
    <row r="929" spans="5:14" ht="12.5">
      <c r="E929" s="29"/>
      <c r="F929" s="30"/>
      <c r="G929" s="29"/>
      <c r="H929" s="30"/>
      <c r="I929" s="29"/>
      <c r="J929" s="29"/>
      <c r="K929" s="29"/>
      <c r="L929" s="29"/>
      <c r="M929" s="29"/>
      <c r="N929" s="29"/>
    </row>
    <row r="930" spans="5:14" ht="12.5">
      <c r="E930" s="29"/>
      <c r="F930" s="30"/>
      <c r="G930" s="29"/>
      <c r="H930" s="30"/>
      <c r="I930" s="29"/>
      <c r="J930" s="29"/>
      <c r="K930" s="29"/>
      <c r="L930" s="29"/>
      <c r="M930" s="29"/>
      <c r="N930" s="29"/>
    </row>
    <row r="931" spans="5:14" ht="12.5">
      <c r="E931" s="29"/>
      <c r="F931" s="30"/>
      <c r="G931" s="29"/>
      <c r="H931" s="30"/>
      <c r="I931" s="29"/>
      <c r="J931" s="29"/>
      <c r="K931" s="29"/>
      <c r="L931" s="29"/>
      <c r="M931" s="29"/>
      <c r="N931" s="29"/>
    </row>
    <row r="932" spans="5:14" ht="12.5">
      <c r="E932" s="29"/>
      <c r="F932" s="30"/>
      <c r="G932" s="29"/>
      <c r="H932" s="30"/>
      <c r="I932" s="29"/>
      <c r="J932" s="29"/>
      <c r="K932" s="29"/>
      <c r="L932" s="29"/>
      <c r="M932" s="29"/>
      <c r="N932" s="29"/>
    </row>
    <row r="933" spans="5:14" ht="12.5">
      <c r="E933" s="29"/>
      <c r="F933" s="30"/>
      <c r="G933" s="29"/>
      <c r="H933" s="30"/>
      <c r="I933" s="29"/>
      <c r="J933" s="29"/>
      <c r="K933" s="29"/>
      <c r="L933" s="29"/>
      <c r="M933" s="29"/>
      <c r="N933" s="29"/>
    </row>
    <row r="934" spans="5:14" ht="12.5">
      <c r="E934" s="29"/>
      <c r="F934" s="30"/>
      <c r="G934" s="29"/>
      <c r="H934" s="30"/>
      <c r="I934" s="29"/>
      <c r="J934" s="29"/>
      <c r="K934" s="29"/>
      <c r="L934" s="29"/>
      <c r="M934" s="29"/>
      <c r="N934" s="29"/>
    </row>
    <row r="935" spans="5:14" ht="12.5">
      <c r="E935" s="29"/>
      <c r="F935" s="30"/>
      <c r="G935" s="29"/>
      <c r="H935" s="30"/>
      <c r="I935" s="29"/>
      <c r="J935" s="29"/>
      <c r="K935" s="29"/>
      <c r="L935" s="29"/>
      <c r="M935" s="29"/>
      <c r="N935" s="29"/>
    </row>
    <row r="936" spans="5:14" ht="12.5">
      <c r="E936" s="29"/>
      <c r="F936" s="30"/>
      <c r="G936" s="29"/>
      <c r="H936" s="30"/>
      <c r="I936" s="29"/>
      <c r="J936" s="29"/>
      <c r="K936" s="29"/>
      <c r="L936" s="29"/>
      <c r="M936" s="29"/>
      <c r="N936" s="29"/>
    </row>
    <row r="937" spans="5:14" ht="12.5">
      <c r="E937" s="29"/>
      <c r="F937" s="30"/>
      <c r="G937" s="29"/>
      <c r="H937" s="30"/>
      <c r="I937" s="29"/>
      <c r="J937" s="29"/>
      <c r="K937" s="29"/>
      <c r="L937" s="29"/>
      <c r="M937" s="29"/>
      <c r="N937" s="29"/>
    </row>
    <row r="938" spans="5:14" ht="12.5">
      <c r="E938" s="29"/>
      <c r="F938" s="30"/>
      <c r="G938" s="29"/>
      <c r="H938" s="30"/>
      <c r="I938" s="29"/>
      <c r="J938" s="29"/>
      <c r="K938" s="29"/>
      <c r="L938" s="29"/>
      <c r="M938" s="29"/>
      <c r="N938" s="29"/>
    </row>
    <row r="939" spans="5:14" ht="12.5">
      <c r="E939" s="29"/>
      <c r="F939" s="30"/>
      <c r="G939" s="29"/>
      <c r="H939" s="30"/>
      <c r="I939" s="29"/>
      <c r="J939" s="29"/>
      <c r="K939" s="29"/>
      <c r="L939" s="29"/>
      <c r="M939" s="29"/>
      <c r="N939" s="29"/>
    </row>
    <row r="940" spans="5:14" ht="12.5">
      <c r="E940" s="29"/>
      <c r="F940" s="30"/>
      <c r="G940" s="29"/>
      <c r="H940" s="30"/>
      <c r="I940" s="29"/>
      <c r="J940" s="29"/>
      <c r="K940" s="29"/>
      <c r="L940" s="29"/>
      <c r="M940" s="29"/>
      <c r="N940" s="29"/>
    </row>
    <row r="941" spans="5:14" ht="12.5">
      <c r="E941" s="29"/>
      <c r="F941" s="30"/>
      <c r="G941" s="29"/>
      <c r="H941" s="30"/>
      <c r="I941" s="29"/>
      <c r="J941" s="29"/>
      <c r="K941" s="29"/>
      <c r="L941" s="29"/>
      <c r="M941" s="29"/>
      <c r="N941" s="29"/>
    </row>
    <row r="942" spans="5:14" ht="12.5">
      <c r="E942" s="29"/>
      <c r="F942" s="30"/>
      <c r="G942" s="29"/>
      <c r="H942" s="30"/>
      <c r="I942" s="29"/>
      <c r="J942" s="29"/>
      <c r="K942" s="29"/>
      <c r="L942" s="29"/>
      <c r="M942" s="29"/>
      <c r="N942" s="29"/>
    </row>
    <row r="943" spans="5:14" ht="12.5">
      <c r="E943" s="29"/>
      <c r="F943" s="30"/>
      <c r="G943" s="29"/>
      <c r="H943" s="30"/>
      <c r="I943" s="29"/>
      <c r="J943" s="29"/>
      <c r="K943" s="29"/>
      <c r="L943" s="29"/>
      <c r="M943" s="29"/>
      <c r="N943" s="29"/>
    </row>
    <row r="944" spans="5:14" ht="12.5">
      <c r="E944" s="29"/>
      <c r="F944" s="30"/>
      <c r="G944" s="29"/>
      <c r="H944" s="30"/>
      <c r="I944" s="29"/>
      <c r="J944" s="29"/>
      <c r="K944" s="29"/>
      <c r="L944" s="29"/>
      <c r="M944" s="29"/>
      <c r="N944" s="29"/>
    </row>
    <row r="945" spans="5:14" ht="12.5">
      <c r="E945" s="29"/>
      <c r="F945" s="30"/>
      <c r="G945" s="29"/>
      <c r="H945" s="30"/>
      <c r="I945" s="29"/>
      <c r="J945" s="29"/>
      <c r="K945" s="29"/>
      <c r="L945" s="29"/>
      <c r="M945" s="29"/>
      <c r="N945" s="29"/>
    </row>
    <row r="946" spans="5:14" ht="12.5">
      <c r="E946" s="29"/>
      <c r="F946" s="30"/>
      <c r="G946" s="29"/>
      <c r="H946" s="30"/>
      <c r="I946" s="29"/>
      <c r="J946" s="29"/>
      <c r="K946" s="29"/>
      <c r="L946" s="29"/>
      <c r="M946" s="29"/>
      <c r="N946" s="29"/>
    </row>
    <row r="947" spans="5:14" ht="12.5">
      <c r="E947" s="29"/>
      <c r="F947" s="30"/>
      <c r="G947" s="29"/>
      <c r="H947" s="30"/>
      <c r="I947" s="29"/>
      <c r="J947" s="29"/>
      <c r="K947" s="29"/>
      <c r="L947" s="29"/>
      <c r="M947" s="29"/>
      <c r="N947" s="29"/>
    </row>
    <row r="948" spans="5:14" ht="12.5">
      <c r="E948" s="29"/>
      <c r="F948" s="30"/>
      <c r="G948" s="29"/>
      <c r="H948" s="30"/>
      <c r="I948" s="29"/>
      <c r="J948" s="29"/>
      <c r="K948" s="29"/>
      <c r="L948" s="29"/>
      <c r="M948" s="29"/>
      <c r="N948" s="29"/>
    </row>
    <row r="949" spans="5:14" ht="12.5">
      <c r="E949" s="29"/>
      <c r="F949" s="30"/>
      <c r="G949" s="29"/>
      <c r="H949" s="30"/>
      <c r="I949" s="29"/>
      <c r="J949" s="29"/>
      <c r="K949" s="29"/>
      <c r="L949" s="29"/>
      <c r="M949" s="29"/>
      <c r="N949" s="29"/>
    </row>
    <row r="950" spans="5:14" ht="12.5">
      <c r="E950" s="29"/>
      <c r="F950" s="30"/>
      <c r="G950" s="29"/>
      <c r="H950" s="30"/>
      <c r="I950" s="29"/>
      <c r="J950" s="29"/>
      <c r="K950" s="29"/>
      <c r="L950" s="29"/>
      <c r="M950" s="29"/>
      <c r="N950" s="29"/>
    </row>
    <row r="951" spans="5:14" ht="12.5">
      <c r="E951" s="29"/>
      <c r="F951" s="30"/>
      <c r="G951" s="29"/>
      <c r="H951" s="30"/>
      <c r="I951" s="29"/>
      <c r="J951" s="29"/>
      <c r="K951" s="29"/>
      <c r="L951" s="29"/>
      <c r="M951" s="29"/>
      <c r="N951" s="29"/>
    </row>
    <row r="952" spans="5:14" ht="12.5">
      <c r="E952" s="29"/>
      <c r="F952" s="30"/>
      <c r="G952" s="29"/>
      <c r="H952" s="30"/>
      <c r="I952" s="29"/>
      <c r="J952" s="29"/>
      <c r="K952" s="29"/>
      <c r="L952" s="29"/>
      <c r="M952" s="29"/>
      <c r="N952" s="29"/>
    </row>
    <row r="953" spans="5:14" ht="12.5">
      <c r="E953" s="29"/>
      <c r="F953" s="30"/>
      <c r="G953" s="29"/>
      <c r="H953" s="30"/>
      <c r="I953" s="29"/>
      <c r="J953" s="29"/>
      <c r="K953" s="29"/>
      <c r="L953" s="29"/>
      <c r="M953" s="29"/>
      <c r="N953" s="29"/>
    </row>
    <row r="954" spans="5:14" ht="12.5">
      <c r="E954" s="29"/>
      <c r="F954" s="30"/>
      <c r="G954" s="29"/>
      <c r="H954" s="30"/>
      <c r="I954" s="29"/>
      <c r="J954" s="29"/>
      <c r="K954" s="29"/>
      <c r="L954" s="29"/>
      <c r="M954" s="29"/>
      <c r="N954" s="29"/>
    </row>
    <row r="955" spans="5:14" ht="12.5">
      <c r="E955" s="29"/>
      <c r="F955" s="30"/>
      <c r="G955" s="29"/>
      <c r="H955" s="30"/>
      <c r="I955" s="29"/>
      <c r="J955" s="29"/>
      <c r="K955" s="29"/>
      <c r="L955" s="29"/>
      <c r="M955" s="29"/>
      <c r="N955" s="29"/>
    </row>
    <row r="956" spans="5:14" ht="12.5">
      <c r="E956" s="29"/>
      <c r="F956" s="30"/>
      <c r="G956" s="29"/>
      <c r="H956" s="30"/>
      <c r="I956" s="29"/>
      <c r="J956" s="29"/>
      <c r="K956" s="29"/>
      <c r="L956" s="29"/>
      <c r="M956" s="29"/>
      <c r="N956" s="29"/>
    </row>
    <row r="957" spans="5:14" ht="12.5">
      <c r="E957" s="29"/>
      <c r="F957" s="30"/>
      <c r="G957" s="29"/>
      <c r="H957" s="30"/>
      <c r="I957" s="29"/>
      <c r="J957" s="29"/>
      <c r="K957" s="29"/>
      <c r="L957" s="29"/>
      <c r="M957" s="29"/>
      <c r="N957" s="29"/>
    </row>
    <row r="958" spans="5:14" ht="12.5">
      <c r="E958" s="29"/>
      <c r="F958" s="30"/>
      <c r="G958" s="29"/>
      <c r="H958" s="30"/>
      <c r="I958" s="29"/>
      <c r="J958" s="29"/>
      <c r="K958" s="29"/>
      <c r="L958" s="29"/>
      <c r="M958" s="29"/>
      <c r="N958" s="29"/>
    </row>
    <row r="959" spans="5:14" ht="12.5">
      <c r="E959" s="29"/>
      <c r="F959" s="30"/>
      <c r="G959" s="29"/>
      <c r="H959" s="30"/>
      <c r="I959" s="29"/>
      <c r="J959" s="29"/>
      <c r="K959" s="29"/>
      <c r="L959" s="29"/>
      <c r="M959" s="29"/>
      <c r="N959" s="29"/>
    </row>
    <row r="960" spans="5:14" ht="12.5">
      <c r="E960" s="29"/>
      <c r="F960" s="30"/>
      <c r="G960" s="29"/>
      <c r="H960" s="30"/>
      <c r="I960" s="29"/>
      <c r="J960" s="29"/>
      <c r="K960" s="29"/>
      <c r="L960" s="29"/>
      <c r="M960" s="29"/>
      <c r="N960" s="29"/>
    </row>
    <row r="961" spans="5:14" ht="12.5">
      <c r="E961" s="29"/>
      <c r="F961" s="30"/>
      <c r="G961" s="29"/>
      <c r="H961" s="30"/>
      <c r="I961" s="29"/>
      <c r="J961" s="29"/>
      <c r="K961" s="29"/>
      <c r="L961" s="29"/>
      <c r="M961" s="29"/>
      <c r="N961" s="29"/>
    </row>
    <row r="962" spans="5:14" ht="12.5">
      <c r="E962" s="29"/>
      <c r="F962" s="30"/>
      <c r="G962" s="29"/>
      <c r="H962" s="30"/>
      <c r="I962" s="29"/>
      <c r="J962" s="29"/>
      <c r="K962" s="29"/>
      <c r="L962" s="29"/>
      <c r="M962" s="29"/>
      <c r="N962" s="29"/>
    </row>
    <row r="963" spans="5:14" ht="12.5">
      <c r="E963" s="29"/>
      <c r="F963" s="30"/>
      <c r="G963" s="29"/>
      <c r="H963" s="30"/>
      <c r="I963" s="29"/>
      <c r="J963" s="29"/>
      <c r="K963" s="29"/>
      <c r="L963" s="29"/>
      <c r="M963" s="29"/>
      <c r="N963" s="29"/>
    </row>
    <row r="964" spans="5:14" ht="12.5">
      <c r="E964" s="29"/>
      <c r="F964" s="30"/>
      <c r="G964" s="29"/>
      <c r="H964" s="30"/>
      <c r="I964" s="29"/>
      <c r="J964" s="29"/>
      <c r="K964" s="29"/>
      <c r="L964" s="29"/>
      <c r="M964" s="29"/>
      <c r="N964" s="29"/>
    </row>
    <row r="965" spans="5:14" ht="12.5">
      <c r="E965" s="29"/>
      <c r="F965" s="30"/>
      <c r="G965" s="29"/>
      <c r="H965" s="30"/>
      <c r="I965" s="29"/>
      <c r="J965" s="29"/>
      <c r="K965" s="29"/>
      <c r="L965" s="29"/>
      <c r="M965" s="29"/>
      <c r="N965" s="29"/>
    </row>
    <row r="966" spans="5:14" ht="12.5">
      <c r="E966" s="29"/>
      <c r="F966" s="30"/>
      <c r="G966" s="29"/>
      <c r="H966" s="30"/>
      <c r="I966" s="29"/>
      <c r="J966" s="29"/>
      <c r="K966" s="29"/>
      <c r="L966" s="29"/>
      <c r="M966" s="29"/>
      <c r="N966" s="29"/>
    </row>
    <row r="967" spans="5:14" ht="12.5">
      <c r="E967" s="29"/>
      <c r="F967" s="30"/>
      <c r="G967" s="29"/>
      <c r="H967" s="30"/>
      <c r="I967" s="29"/>
      <c r="J967" s="29"/>
      <c r="K967" s="29"/>
      <c r="L967" s="29"/>
      <c r="M967" s="29"/>
      <c r="N967" s="29"/>
    </row>
    <row r="968" spans="5:14" ht="12.5">
      <c r="E968" s="29"/>
      <c r="F968" s="30"/>
      <c r="G968" s="29"/>
      <c r="H968" s="30"/>
      <c r="I968" s="29"/>
      <c r="J968" s="29"/>
      <c r="K968" s="29"/>
      <c r="L968" s="29"/>
      <c r="M968" s="29"/>
      <c r="N968" s="29"/>
    </row>
    <row r="969" spans="5:14" ht="12.5">
      <c r="E969" s="29"/>
      <c r="F969" s="30"/>
      <c r="G969" s="29"/>
      <c r="H969" s="30"/>
      <c r="I969" s="29"/>
      <c r="J969" s="29"/>
      <c r="K969" s="29"/>
      <c r="L969" s="29"/>
      <c r="M969" s="29"/>
      <c r="N969" s="29"/>
    </row>
    <row r="970" spans="5:14" ht="12.5">
      <c r="E970" s="29"/>
      <c r="F970" s="30"/>
      <c r="G970" s="29"/>
      <c r="H970" s="30"/>
      <c r="I970" s="29"/>
      <c r="J970" s="29"/>
      <c r="K970" s="29"/>
      <c r="L970" s="29"/>
      <c r="M970" s="29"/>
      <c r="N970" s="29"/>
    </row>
    <row r="971" spans="5:14" ht="12.5">
      <c r="E971" s="29"/>
      <c r="F971" s="30"/>
      <c r="G971" s="29"/>
      <c r="H971" s="30"/>
      <c r="I971" s="29"/>
      <c r="J971" s="29"/>
      <c r="K971" s="29"/>
      <c r="L971" s="29"/>
      <c r="M971" s="29"/>
      <c r="N971" s="29"/>
    </row>
    <row r="972" spans="5:14" ht="12.5">
      <c r="E972" s="29"/>
      <c r="F972" s="30"/>
      <c r="G972" s="29"/>
      <c r="H972" s="30"/>
      <c r="I972" s="29"/>
      <c r="J972" s="29"/>
      <c r="K972" s="29"/>
      <c r="L972" s="29"/>
      <c r="M972" s="29"/>
      <c r="N972" s="29"/>
    </row>
    <row r="973" spans="5:14" ht="12.5">
      <c r="E973" s="29"/>
      <c r="F973" s="30"/>
      <c r="G973" s="29"/>
      <c r="H973" s="30"/>
      <c r="I973" s="29"/>
      <c r="J973" s="29"/>
      <c r="K973" s="29"/>
      <c r="L973" s="29"/>
      <c r="M973" s="29"/>
      <c r="N973" s="29"/>
    </row>
    <row r="974" spans="5:14" ht="12.5">
      <c r="E974" s="29"/>
      <c r="F974" s="30"/>
      <c r="G974" s="29"/>
      <c r="H974" s="30"/>
      <c r="I974" s="29"/>
      <c r="J974" s="29"/>
      <c r="K974" s="29"/>
      <c r="L974" s="29"/>
      <c r="M974" s="29"/>
      <c r="N974" s="29"/>
    </row>
    <row r="975" spans="5:14" ht="12.5">
      <c r="E975" s="29"/>
      <c r="F975" s="30"/>
      <c r="G975" s="29"/>
      <c r="H975" s="30"/>
      <c r="I975" s="29"/>
      <c r="J975" s="29"/>
      <c r="K975" s="29"/>
      <c r="L975" s="29"/>
      <c r="M975" s="29"/>
      <c r="N975" s="29"/>
    </row>
    <row r="976" spans="5:14" ht="12.5">
      <c r="E976" s="29"/>
      <c r="F976" s="30"/>
      <c r="G976" s="29"/>
      <c r="H976" s="30"/>
      <c r="I976" s="29"/>
      <c r="J976" s="29"/>
      <c r="K976" s="29"/>
      <c r="L976" s="29"/>
      <c r="M976" s="29"/>
      <c r="N976" s="29"/>
    </row>
    <row r="977" spans="5:14" ht="12.5">
      <c r="E977" s="29"/>
      <c r="F977" s="30"/>
      <c r="G977" s="29"/>
      <c r="H977" s="30"/>
      <c r="I977" s="29"/>
      <c r="J977" s="29"/>
      <c r="K977" s="29"/>
      <c r="L977" s="29"/>
      <c r="M977" s="29"/>
      <c r="N977" s="29"/>
    </row>
    <row r="978" spans="5:14" ht="12.5">
      <c r="E978" s="29"/>
      <c r="F978" s="30"/>
      <c r="G978" s="29"/>
      <c r="H978" s="30"/>
      <c r="I978" s="29"/>
      <c r="J978" s="29"/>
      <c r="K978" s="29"/>
      <c r="L978" s="29"/>
      <c r="M978" s="29"/>
      <c r="N978" s="29"/>
    </row>
    <row r="979" spans="5:14" ht="12.5">
      <c r="E979" s="29"/>
      <c r="F979" s="30"/>
      <c r="G979" s="29"/>
      <c r="H979" s="30"/>
      <c r="I979" s="29"/>
      <c r="J979" s="29"/>
      <c r="K979" s="29"/>
      <c r="L979" s="29"/>
      <c r="M979" s="29"/>
      <c r="N979" s="29"/>
    </row>
    <row r="980" spans="5:14" ht="12.5">
      <c r="E980" s="29"/>
      <c r="F980" s="30"/>
      <c r="G980" s="29"/>
      <c r="H980" s="30"/>
      <c r="I980" s="29"/>
      <c r="J980" s="29"/>
      <c r="K980" s="29"/>
      <c r="L980" s="29"/>
      <c r="M980" s="29"/>
      <c r="N980" s="29"/>
    </row>
    <row r="981" spans="5:14" ht="12.5">
      <c r="E981" s="29"/>
      <c r="F981" s="30"/>
      <c r="G981" s="29"/>
      <c r="H981" s="30"/>
      <c r="I981" s="29"/>
      <c r="J981" s="29"/>
      <c r="K981" s="29"/>
      <c r="L981" s="29"/>
      <c r="M981" s="29"/>
      <c r="N981" s="29"/>
    </row>
    <row r="982" spans="5:14" ht="12.5">
      <c r="E982" s="29"/>
      <c r="F982" s="30"/>
      <c r="G982" s="29"/>
      <c r="H982" s="30"/>
      <c r="I982" s="29"/>
      <c r="J982" s="29"/>
      <c r="K982" s="29"/>
      <c r="L982" s="29"/>
      <c r="M982" s="29"/>
      <c r="N982" s="29"/>
    </row>
    <row r="983" spans="5:14" ht="12.5">
      <c r="E983" s="29"/>
      <c r="F983" s="30"/>
      <c r="G983" s="29"/>
      <c r="H983" s="30"/>
      <c r="I983" s="29"/>
      <c r="J983" s="29"/>
      <c r="K983" s="29"/>
      <c r="L983" s="29"/>
      <c r="M983" s="29"/>
      <c r="N983" s="29"/>
    </row>
    <row r="984" spans="5:14" ht="12.5">
      <c r="E984" s="29"/>
      <c r="F984" s="30"/>
      <c r="G984" s="29"/>
      <c r="H984" s="30"/>
      <c r="I984" s="29"/>
      <c r="J984" s="29"/>
      <c r="K984" s="29"/>
      <c r="L984" s="29"/>
      <c r="M984" s="29"/>
      <c r="N984" s="29"/>
    </row>
    <row r="985" spans="5:14" ht="12.5">
      <c r="E985" s="29"/>
      <c r="F985" s="30"/>
      <c r="G985" s="29"/>
      <c r="H985" s="30"/>
      <c r="I985" s="29"/>
      <c r="J985" s="29"/>
      <c r="K985" s="29"/>
      <c r="L985" s="29"/>
      <c r="M985" s="29"/>
      <c r="N985" s="29"/>
    </row>
    <row r="986" spans="5:14" ht="12.5">
      <c r="E986" s="29"/>
      <c r="F986" s="30"/>
      <c r="G986" s="29"/>
      <c r="H986" s="30"/>
      <c r="I986" s="29"/>
      <c r="J986" s="29"/>
      <c r="K986" s="29"/>
      <c r="L986" s="29"/>
      <c r="M986" s="29"/>
      <c r="N986" s="29"/>
    </row>
    <row r="987" spans="5:14" ht="12.5">
      <c r="E987" s="29"/>
      <c r="F987" s="30"/>
      <c r="G987" s="29"/>
      <c r="H987" s="30"/>
      <c r="I987" s="29"/>
      <c r="J987" s="29"/>
      <c r="K987" s="29"/>
      <c r="L987" s="29"/>
      <c r="M987" s="29"/>
      <c r="N987" s="29"/>
    </row>
    <row r="988" spans="5:14" ht="12.5">
      <c r="E988" s="29"/>
      <c r="F988" s="30"/>
      <c r="G988" s="29"/>
      <c r="H988" s="30"/>
      <c r="I988" s="29"/>
      <c r="J988" s="29"/>
      <c r="K988" s="29"/>
      <c r="L988" s="29"/>
      <c r="M988" s="29"/>
      <c r="N988" s="29"/>
    </row>
    <row r="989" spans="5:14" ht="12.5">
      <c r="E989" s="29"/>
      <c r="F989" s="30"/>
      <c r="G989" s="29"/>
      <c r="H989" s="30"/>
      <c r="I989" s="29"/>
      <c r="J989" s="29"/>
      <c r="K989" s="29"/>
      <c r="L989" s="29"/>
      <c r="M989" s="29"/>
      <c r="N989" s="29"/>
    </row>
    <row r="990" spans="5:14" ht="12.5">
      <c r="E990" s="29"/>
      <c r="F990" s="30"/>
      <c r="G990" s="29"/>
      <c r="H990" s="30"/>
      <c r="I990" s="29"/>
      <c r="J990" s="29"/>
      <c r="K990" s="29"/>
      <c r="L990" s="29"/>
      <c r="M990" s="29"/>
      <c r="N990" s="29"/>
    </row>
    <row r="991" spans="5:14" ht="12.5">
      <c r="E991" s="29"/>
      <c r="F991" s="30"/>
      <c r="G991" s="29"/>
      <c r="H991" s="30"/>
      <c r="I991" s="29"/>
      <c r="J991" s="29"/>
      <c r="K991" s="29"/>
      <c r="L991" s="29"/>
      <c r="M991" s="29"/>
      <c r="N991" s="29"/>
    </row>
    <row r="992" spans="5:14" ht="12.5">
      <c r="E992" s="29"/>
      <c r="F992" s="30"/>
      <c r="G992" s="29"/>
      <c r="H992" s="30"/>
      <c r="I992" s="29"/>
      <c r="J992" s="29"/>
      <c r="K992" s="29"/>
      <c r="L992" s="29"/>
      <c r="M992" s="29"/>
      <c r="N992" s="29"/>
    </row>
    <row r="993" spans="5:14" ht="12.5">
      <c r="E993" s="29"/>
      <c r="F993" s="30"/>
      <c r="G993" s="29"/>
      <c r="H993" s="30"/>
      <c r="I993" s="29"/>
      <c r="J993" s="29"/>
      <c r="K993" s="29"/>
      <c r="L993" s="29"/>
      <c r="M993" s="29"/>
      <c r="N993" s="29"/>
    </row>
    <row r="994" spans="5:14" ht="12.5">
      <c r="E994" s="29"/>
      <c r="F994" s="30"/>
      <c r="G994" s="29"/>
      <c r="H994" s="30"/>
      <c r="I994" s="29"/>
      <c r="J994" s="29"/>
      <c r="K994" s="29"/>
      <c r="L994" s="29"/>
      <c r="M994" s="29"/>
      <c r="N994" s="29"/>
    </row>
    <row r="995" spans="5:14" ht="12.5">
      <c r="E995" s="29"/>
      <c r="F995" s="30"/>
      <c r="G995" s="29"/>
      <c r="H995" s="30"/>
      <c r="I995" s="29"/>
      <c r="J995" s="29"/>
      <c r="K995" s="29"/>
      <c r="L995" s="29"/>
      <c r="M995" s="29"/>
      <c r="N995" s="29"/>
    </row>
    <row r="996" spans="5:14" ht="12.5">
      <c r="E996" s="29"/>
      <c r="F996" s="30"/>
      <c r="G996" s="29"/>
      <c r="H996" s="30"/>
      <c r="I996" s="29"/>
      <c r="J996" s="29"/>
      <c r="K996" s="29"/>
      <c r="L996" s="29"/>
      <c r="M996" s="29"/>
      <c r="N996" s="29"/>
    </row>
    <row r="997" spans="5:14" ht="12.5">
      <c r="E997" s="29"/>
      <c r="F997" s="30"/>
      <c r="G997" s="29"/>
      <c r="H997" s="30"/>
      <c r="I997" s="29"/>
      <c r="J997" s="29"/>
      <c r="K997" s="29"/>
      <c r="L997" s="29"/>
      <c r="M997" s="29"/>
      <c r="N997" s="29"/>
    </row>
    <row r="998" spans="5:14" ht="12.5">
      <c r="E998" s="29"/>
      <c r="F998" s="30"/>
      <c r="G998" s="29"/>
      <c r="H998" s="30"/>
      <c r="I998" s="29"/>
      <c r="J998" s="29"/>
      <c r="K998" s="29"/>
      <c r="L998" s="29"/>
      <c r="M998" s="29"/>
      <c r="N998" s="29"/>
    </row>
    <row r="999" spans="5:14" ht="12.5">
      <c r="E999" s="29"/>
      <c r="F999" s="30"/>
      <c r="G999" s="29"/>
      <c r="H999" s="30"/>
      <c r="I999" s="29"/>
      <c r="J999" s="29"/>
      <c r="K999" s="29"/>
      <c r="L999" s="29"/>
      <c r="M999" s="29"/>
      <c r="N999" s="29"/>
    </row>
    <row r="1000" spans="5:14" ht="12.5">
      <c r="E1000" s="29"/>
      <c r="F1000" s="30"/>
      <c r="G1000" s="29"/>
      <c r="H1000" s="30"/>
      <c r="I1000" s="29"/>
      <c r="J1000" s="29"/>
      <c r="K1000" s="29"/>
      <c r="L1000" s="29"/>
      <c r="M1000" s="29"/>
      <c r="N1000" s="29"/>
    </row>
    <row r="1001" spans="5:14" ht="12.5">
      <c r="E1001" s="29"/>
      <c r="F1001" s="30"/>
      <c r="G1001" s="29"/>
      <c r="H1001" s="30"/>
      <c r="I1001" s="29"/>
      <c r="J1001" s="29"/>
      <c r="K1001" s="29"/>
      <c r="L1001" s="29"/>
      <c r="M1001" s="29"/>
      <c r="N1001" s="29"/>
    </row>
    <row r="1002" spans="5:14" ht="12.5">
      <c r="E1002" s="29"/>
      <c r="F1002" s="30"/>
      <c r="G1002" s="29"/>
      <c r="H1002" s="30"/>
      <c r="I1002" s="29"/>
      <c r="J1002" s="29"/>
      <c r="K1002" s="29"/>
      <c r="L1002" s="29"/>
      <c r="M1002" s="29"/>
      <c r="N1002" s="29"/>
    </row>
    <row r="1003" spans="5:14" ht="12.5">
      <c r="E1003" s="29"/>
      <c r="F1003" s="30"/>
      <c r="G1003" s="29"/>
      <c r="H1003" s="30"/>
      <c r="I1003" s="29"/>
      <c r="J1003" s="29"/>
      <c r="K1003" s="29"/>
      <c r="L1003" s="29"/>
      <c r="M1003" s="29"/>
      <c r="N1003" s="29"/>
    </row>
    <row r="1004" spans="5:14" ht="12.5">
      <c r="E1004" s="29"/>
      <c r="F1004" s="30"/>
      <c r="G1004" s="29"/>
      <c r="H1004" s="30"/>
      <c r="I1004" s="29"/>
      <c r="J1004" s="29"/>
      <c r="K1004" s="29"/>
      <c r="L1004" s="29"/>
      <c r="M1004" s="29"/>
      <c r="N1004" s="29"/>
    </row>
    <row r="1005" spans="5:14" ht="12.5">
      <c r="E1005" s="29"/>
      <c r="F1005" s="30"/>
      <c r="G1005" s="29"/>
      <c r="H1005" s="30"/>
      <c r="I1005" s="29"/>
      <c r="J1005" s="29"/>
      <c r="K1005" s="29"/>
      <c r="L1005" s="29"/>
      <c r="M1005" s="29"/>
      <c r="N1005" s="29"/>
    </row>
    <row r="1006" spans="5:14" ht="12.5">
      <c r="E1006" s="29"/>
      <c r="F1006" s="30"/>
      <c r="G1006" s="29"/>
      <c r="H1006" s="30"/>
      <c r="I1006" s="29"/>
      <c r="J1006" s="29"/>
      <c r="K1006" s="29"/>
      <c r="L1006" s="29"/>
      <c r="M1006" s="29"/>
      <c r="N1006" s="29"/>
    </row>
    <row r="1007" spans="5:14" ht="12.5">
      <c r="E1007" s="29"/>
      <c r="F1007" s="30"/>
      <c r="G1007" s="29"/>
      <c r="H1007" s="30"/>
      <c r="I1007" s="29"/>
      <c r="J1007" s="29"/>
      <c r="K1007" s="29"/>
      <c r="L1007" s="29"/>
      <c r="M1007" s="29"/>
      <c r="N1007" s="29"/>
    </row>
    <row r="1008" spans="5:14" ht="12.5">
      <c r="E1008" s="29"/>
      <c r="F1008" s="30"/>
      <c r="G1008" s="29"/>
      <c r="H1008" s="30"/>
      <c r="I1008" s="29"/>
      <c r="J1008" s="29"/>
      <c r="K1008" s="29"/>
      <c r="L1008" s="29"/>
      <c r="M1008" s="29"/>
      <c r="N1008" s="29"/>
    </row>
    <row r="1009" spans="5:14" ht="12.5">
      <c r="E1009" s="29"/>
      <c r="F1009" s="30"/>
      <c r="G1009" s="29"/>
      <c r="H1009" s="30"/>
      <c r="I1009" s="29"/>
      <c r="J1009" s="29"/>
      <c r="K1009" s="29"/>
      <c r="L1009" s="29"/>
      <c r="M1009" s="29"/>
      <c r="N1009" s="29"/>
    </row>
    <row r="1010" spans="5:14" ht="12.5">
      <c r="E1010" s="29"/>
      <c r="F1010" s="30"/>
      <c r="G1010" s="29"/>
      <c r="H1010" s="30"/>
      <c r="I1010" s="29"/>
      <c r="J1010" s="29"/>
      <c r="K1010" s="29"/>
      <c r="L1010" s="29"/>
      <c r="M1010" s="29"/>
      <c r="N1010" s="29"/>
    </row>
    <row r="1011" spans="5:14" ht="12.5">
      <c r="E1011" s="29"/>
      <c r="F1011" s="30"/>
      <c r="G1011" s="29"/>
      <c r="H1011" s="30"/>
      <c r="I1011" s="29"/>
      <c r="J1011" s="29"/>
      <c r="K1011" s="29"/>
      <c r="L1011" s="29"/>
      <c r="M1011" s="29"/>
      <c r="N1011" s="29"/>
    </row>
    <row r="1012" spans="5:14" ht="12.5">
      <c r="E1012" s="29"/>
      <c r="F1012" s="30"/>
      <c r="G1012" s="29"/>
      <c r="H1012" s="30"/>
      <c r="I1012" s="29"/>
      <c r="J1012" s="29"/>
      <c r="K1012" s="29"/>
      <c r="L1012" s="29"/>
      <c r="M1012" s="29"/>
      <c r="N1012" s="29"/>
    </row>
    <row r="1013" spans="5:14" ht="12.5">
      <c r="E1013" s="29"/>
      <c r="F1013" s="30"/>
      <c r="G1013" s="29"/>
      <c r="H1013" s="30"/>
      <c r="I1013" s="29"/>
      <c r="J1013" s="29"/>
      <c r="K1013" s="29"/>
      <c r="L1013" s="29"/>
      <c r="M1013" s="29"/>
      <c r="N1013" s="29"/>
    </row>
    <row r="1014" spans="5:14" ht="12.5">
      <c r="E1014" s="29"/>
      <c r="F1014" s="30"/>
      <c r="G1014" s="29"/>
      <c r="H1014" s="30"/>
      <c r="I1014" s="29"/>
      <c r="J1014" s="29"/>
      <c r="K1014" s="29"/>
      <c r="L1014" s="29"/>
      <c r="M1014" s="29"/>
      <c r="N1014" s="29"/>
    </row>
    <row r="1015" spans="5:14" ht="12.5">
      <c r="E1015" s="29"/>
      <c r="F1015" s="30"/>
      <c r="G1015" s="29"/>
      <c r="H1015" s="30"/>
      <c r="I1015" s="29"/>
      <c r="J1015" s="29"/>
      <c r="K1015" s="29"/>
      <c r="L1015" s="29"/>
      <c r="M1015" s="29"/>
      <c r="N1015" s="29"/>
    </row>
    <row r="1016" spans="5:14" ht="12.5">
      <c r="E1016" s="29"/>
      <c r="F1016" s="30"/>
      <c r="G1016" s="29"/>
      <c r="H1016" s="30"/>
      <c r="I1016" s="29"/>
      <c r="J1016" s="29"/>
      <c r="K1016" s="29"/>
      <c r="L1016" s="29"/>
      <c r="M1016" s="29"/>
      <c r="N1016" s="29"/>
    </row>
    <row r="1017" spans="5:14" ht="12.5">
      <c r="E1017" s="29"/>
      <c r="F1017" s="30"/>
      <c r="G1017" s="29"/>
      <c r="H1017" s="30"/>
      <c r="I1017" s="29"/>
      <c r="J1017" s="29"/>
      <c r="K1017" s="29"/>
      <c r="L1017" s="29"/>
      <c r="M1017" s="29"/>
      <c r="N1017" s="29"/>
    </row>
    <row r="1018" spans="5:14" ht="12.5">
      <c r="E1018" s="29"/>
      <c r="F1018" s="30"/>
      <c r="G1018" s="29"/>
      <c r="H1018" s="30"/>
      <c r="I1018" s="29"/>
      <c r="J1018" s="29"/>
      <c r="K1018" s="29"/>
      <c r="L1018" s="29"/>
      <c r="M1018" s="29"/>
      <c r="N1018" s="29"/>
    </row>
    <row r="1019" spans="5:14" ht="12.5">
      <c r="E1019" s="29"/>
      <c r="F1019" s="30"/>
      <c r="G1019" s="29"/>
      <c r="H1019" s="30"/>
      <c r="I1019" s="29"/>
      <c r="J1019" s="29"/>
      <c r="K1019" s="29"/>
      <c r="L1019" s="29"/>
      <c r="M1019" s="29"/>
      <c r="N1019" s="29"/>
    </row>
    <row r="1020" spans="5:14" ht="12.5">
      <c r="E1020" s="29"/>
      <c r="F1020" s="30"/>
      <c r="G1020" s="29"/>
      <c r="H1020" s="30"/>
      <c r="I1020" s="29"/>
      <c r="J1020" s="29"/>
      <c r="K1020" s="29"/>
      <c r="L1020" s="29"/>
      <c r="M1020" s="29"/>
      <c r="N1020" s="29"/>
    </row>
    <row r="1021" spans="5:14" ht="12.5">
      <c r="E1021" s="29"/>
      <c r="F1021" s="30"/>
      <c r="G1021" s="29"/>
      <c r="H1021" s="30"/>
      <c r="I1021" s="29"/>
      <c r="J1021" s="29"/>
      <c r="K1021" s="29"/>
      <c r="L1021" s="29"/>
      <c r="M1021" s="29"/>
      <c r="N1021" s="29"/>
    </row>
    <row r="1022" spans="5:14" ht="12.5">
      <c r="E1022" s="29"/>
      <c r="F1022" s="30"/>
      <c r="G1022" s="29"/>
      <c r="H1022" s="30"/>
      <c r="I1022" s="29"/>
      <c r="J1022" s="29"/>
      <c r="K1022" s="29"/>
      <c r="L1022" s="29"/>
      <c r="M1022" s="29"/>
      <c r="N1022" s="29"/>
    </row>
    <row r="1023" spans="5:14" ht="12.5">
      <c r="E1023" s="29"/>
      <c r="F1023" s="30"/>
      <c r="G1023" s="29"/>
      <c r="H1023" s="30"/>
      <c r="I1023" s="29"/>
      <c r="J1023" s="29"/>
      <c r="K1023" s="29"/>
      <c r="L1023" s="29"/>
      <c r="M1023" s="29"/>
      <c r="N1023" s="29"/>
    </row>
    <row r="1024" spans="5:14" ht="12.5">
      <c r="E1024" s="29"/>
      <c r="F1024" s="30"/>
      <c r="G1024" s="29"/>
      <c r="H1024" s="30"/>
      <c r="I1024" s="29"/>
      <c r="J1024" s="29"/>
      <c r="K1024" s="29"/>
      <c r="L1024" s="29"/>
      <c r="M1024" s="29"/>
      <c r="N1024" s="29"/>
    </row>
    <row r="1025" spans="5:14" ht="12.5">
      <c r="E1025" s="29"/>
      <c r="F1025" s="30"/>
      <c r="G1025" s="29"/>
      <c r="H1025" s="30"/>
      <c r="I1025" s="29"/>
      <c r="J1025" s="29"/>
      <c r="K1025" s="29"/>
      <c r="L1025" s="29"/>
      <c r="M1025" s="29"/>
      <c r="N1025" s="29"/>
    </row>
    <row r="1026" spans="5:14" ht="12.5">
      <c r="E1026" s="29"/>
      <c r="F1026" s="30"/>
      <c r="G1026" s="29"/>
      <c r="H1026" s="30"/>
      <c r="I1026" s="29"/>
      <c r="J1026" s="29"/>
      <c r="K1026" s="29"/>
      <c r="L1026" s="29"/>
      <c r="M1026" s="29"/>
      <c r="N1026" s="29"/>
    </row>
    <row r="1027" spans="5:14" ht="12.5">
      <c r="E1027" s="29"/>
      <c r="F1027" s="30"/>
      <c r="G1027" s="29"/>
      <c r="H1027" s="30"/>
      <c r="I1027" s="29"/>
      <c r="J1027" s="29"/>
      <c r="K1027" s="29"/>
      <c r="L1027" s="29"/>
      <c r="M1027" s="29"/>
      <c r="N1027" s="29"/>
    </row>
    <row r="1028" spans="5:14" ht="12.5">
      <c r="E1028" s="29"/>
      <c r="F1028" s="30"/>
      <c r="G1028" s="29"/>
      <c r="H1028" s="30"/>
      <c r="I1028" s="29"/>
      <c r="J1028" s="29"/>
      <c r="K1028" s="29"/>
      <c r="L1028" s="29"/>
      <c r="M1028" s="29"/>
      <c r="N1028" s="29"/>
    </row>
    <row r="1029" spans="5:14" ht="12.5">
      <c r="E1029" s="29"/>
      <c r="F1029" s="30"/>
      <c r="G1029" s="29"/>
      <c r="H1029" s="30"/>
      <c r="I1029" s="29"/>
      <c r="J1029" s="29"/>
      <c r="K1029" s="29"/>
      <c r="L1029" s="29"/>
      <c r="M1029" s="29"/>
      <c r="N1029" s="29"/>
    </row>
    <row r="1030" spans="5:14" ht="12.5">
      <c r="E1030" s="29"/>
      <c r="F1030" s="30"/>
      <c r="G1030" s="29"/>
      <c r="H1030" s="30"/>
      <c r="I1030" s="29"/>
      <c r="J1030" s="29"/>
      <c r="K1030" s="29"/>
      <c r="L1030" s="29"/>
      <c r="M1030" s="29"/>
      <c r="N1030" s="29"/>
    </row>
    <row r="1031" spans="5:14" ht="12.5">
      <c r="E1031" s="29"/>
      <c r="F1031" s="30"/>
      <c r="G1031" s="29"/>
      <c r="H1031" s="30"/>
      <c r="I1031" s="29"/>
      <c r="J1031" s="29"/>
      <c r="K1031" s="29"/>
      <c r="L1031" s="29"/>
      <c r="M1031" s="29"/>
      <c r="N1031" s="29"/>
    </row>
    <row r="1032" spans="5:14" ht="12.5">
      <c r="E1032" s="29"/>
      <c r="F1032" s="30"/>
      <c r="G1032" s="29"/>
      <c r="H1032" s="30"/>
      <c r="I1032" s="29"/>
      <c r="J1032" s="29"/>
      <c r="K1032" s="29"/>
      <c r="L1032" s="29"/>
      <c r="M1032" s="29"/>
      <c r="N1032" s="29"/>
    </row>
    <row r="1033" spans="5:14" ht="12.5">
      <c r="E1033" s="29"/>
      <c r="F1033" s="30"/>
      <c r="G1033" s="29"/>
      <c r="H1033" s="30"/>
      <c r="I1033" s="29"/>
      <c r="J1033" s="29"/>
      <c r="K1033" s="29"/>
      <c r="L1033" s="29"/>
      <c r="M1033" s="29"/>
      <c r="N1033" s="29"/>
    </row>
    <row r="1034" spans="5:14" ht="12.5">
      <c r="E1034" s="29"/>
      <c r="F1034" s="30"/>
      <c r="G1034" s="29"/>
      <c r="H1034" s="30"/>
      <c r="I1034" s="29"/>
      <c r="J1034" s="29"/>
      <c r="K1034" s="29"/>
      <c r="L1034" s="29"/>
      <c r="M1034" s="29"/>
      <c r="N1034" s="29"/>
    </row>
    <row r="1035" spans="5:14" ht="12.5">
      <c r="E1035" s="29"/>
      <c r="F1035" s="30"/>
      <c r="G1035" s="29"/>
      <c r="H1035" s="30"/>
      <c r="I1035" s="29"/>
      <c r="J1035" s="29"/>
      <c r="K1035" s="29"/>
      <c r="L1035" s="29"/>
      <c r="M1035" s="29"/>
      <c r="N1035" s="29"/>
    </row>
    <row r="1036" spans="5:14" ht="12.5">
      <c r="E1036" s="29"/>
      <c r="F1036" s="30"/>
      <c r="G1036" s="29"/>
      <c r="H1036" s="30"/>
      <c r="I1036" s="29"/>
      <c r="J1036" s="29"/>
      <c r="K1036" s="29"/>
      <c r="L1036" s="29"/>
      <c r="M1036" s="29"/>
      <c r="N1036" s="29"/>
    </row>
    <row r="1037" spans="5:14" ht="12.5">
      <c r="E1037" s="29"/>
      <c r="F1037" s="30"/>
      <c r="G1037" s="29"/>
      <c r="H1037" s="30"/>
      <c r="I1037" s="29"/>
      <c r="J1037" s="29"/>
      <c r="K1037" s="29"/>
      <c r="L1037" s="29"/>
      <c r="M1037" s="29"/>
      <c r="N1037" s="29"/>
    </row>
    <row r="1038" spans="5:14" ht="12.5">
      <c r="E1038" s="29"/>
      <c r="F1038" s="30"/>
      <c r="G1038" s="29"/>
      <c r="H1038" s="30"/>
      <c r="I1038" s="29"/>
      <c r="J1038" s="29"/>
      <c r="K1038" s="29"/>
      <c r="L1038" s="29"/>
      <c r="M1038" s="29"/>
      <c r="N1038" s="29"/>
    </row>
    <row r="1039" spans="5:14" ht="12.5">
      <c r="E1039" s="29"/>
      <c r="F1039" s="30"/>
      <c r="G1039" s="29"/>
      <c r="H1039" s="30"/>
      <c r="I1039" s="29"/>
      <c r="J1039" s="29"/>
      <c r="K1039" s="29"/>
      <c r="L1039" s="29"/>
      <c r="M1039" s="29"/>
      <c r="N1039" s="29"/>
    </row>
    <row r="1040" spans="5:14" ht="12.5">
      <c r="E1040" s="29"/>
      <c r="F1040" s="30"/>
      <c r="G1040" s="29"/>
      <c r="H1040" s="30"/>
      <c r="I1040" s="29"/>
      <c r="J1040" s="29"/>
      <c r="K1040" s="29"/>
      <c r="L1040" s="29"/>
      <c r="M1040" s="29"/>
      <c r="N1040" s="29"/>
    </row>
    <row r="1041" spans="5:14" ht="12.5">
      <c r="E1041" s="29"/>
      <c r="F1041" s="30"/>
      <c r="G1041" s="29"/>
      <c r="H1041" s="30"/>
      <c r="I1041" s="29"/>
      <c r="J1041" s="29"/>
      <c r="K1041" s="29"/>
      <c r="L1041" s="29"/>
      <c r="M1041" s="29"/>
      <c r="N1041" s="29"/>
    </row>
    <row r="1042" spans="5:14" ht="12.5">
      <c r="E1042" s="29"/>
      <c r="F1042" s="30"/>
      <c r="G1042" s="29"/>
      <c r="H1042" s="30"/>
      <c r="I1042" s="29"/>
      <c r="J1042" s="29"/>
      <c r="K1042" s="29"/>
      <c r="L1042" s="29"/>
      <c r="M1042" s="29"/>
      <c r="N1042" s="29"/>
    </row>
    <row r="1043" spans="5:14" ht="12.5">
      <c r="E1043" s="29"/>
      <c r="F1043" s="30"/>
      <c r="G1043" s="29"/>
      <c r="H1043" s="30"/>
      <c r="I1043" s="29"/>
      <c r="J1043" s="29"/>
      <c r="K1043" s="29"/>
      <c r="L1043" s="29"/>
      <c r="M1043" s="29"/>
      <c r="N1043" s="29"/>
    </row>
    <row r="1044" spans="5:14" ht="12.5">
      <c r="E1044" s="29"/>
      <c r="F1044" s="30"/>
      <c r="G1044" s="29"/>
      <c r="H1044" s="30"/>
      <c r="I1044" s="29"/>
      <c r="J1044" s="29"/>
      <c r="K1044" s="29"/>
      <c r="L1044" s="29"/>
      <c r="M1044" s="29"/>
      <c r="N1044" s="29"/>
    </row>
    <row r="1045" spans="5:14" ht="12.5">
      <c r="E1045" s="29"/>
      <c r="F1045" s="30"/>
      <c r="G1045" s="29"/>
      <c r="H1045" s="30"/>
      <c r="I1045" s="29"/>
      <c r="J1045" s="29"/>
      <c r="K1045" s="29"/>
      <c r="L1045" s="29"/>
      <c r="M1045" s="29"/>
      <c r="N1045" s="29"/>
    </row>
    <row r="1046" spans="5:14" ht="12.5">
      <c r="E1046" s="29"/>
      <c r="F1046" s="30"/>
      <c r="G1046" s="29"/>
      <c r="H1046" s="30"/>
      <c r="I1046" s="29"/>
      <c r="J1046" s="29"/>
      <c r="K1046" s="29"/>
      <c r="L1046" s="29"/>
      <c r="M1046" s="29"/>
      <c r="N1046" s="29"/>
    </row>
    <row r="1047" spans="5:14" ht="12.5">
      <c r="E1047" s="29"/>
      <c r="F1047" s="30"/>
      <c r="G1047" s="29"/>
      <c r="H1047" s="30"/>
      <c r="I1047" s="29"/>
      <c r="J1047" s="29"/>
      <c r="K1047" s="29"/>
      <c r="L1047" s="29"/>
      <c r="M1047" s="29"/>
      <c r="N1047" s="29"/>
    </row>
    <row r="1048" spans="5:14" ht="12.5">
      <c r="E1048" s="29"/>
      <c r="F1048" s="30"/>
      <c r="G1048" s="29"/>
      <c r="H1048" s="30"/>
      <c r="I1048" s="29"/>
      <c r="J1048" s="29"/>
      <c r="K1048" s="29"/>
      <c r="L1048" s="29"/>
      <c r="M1048" s="29"/>
      <c r="N1048" s="29"/>
    </row>
    <row r="1049" spans="5:14" ht="12.5">
      <c r="E1049" s="29"/>
      <c r="F1049" s="30"/>
      <c r="G1049" s="29"/>
      <c r="H1049" s="30"/>
      <c r="I1049" s="29"/>
      <c r="J1049" s="29"/>
      <c r="K1049" s="29"/>
      <c r="L1049" s="29"/>
      <c r="M1049" s="29"/>
      <c r="N1049" s="29"/>
    </row>
    <row r="1050" spans="5:14" ht="12.5">
      <c r="E1050" s="29"/>
      <c r="F1050" s="30"/>
      <c r="G1050" s="29"/>
      <c r="H1050" s="30"/>
      <c r="I1050" s="29"/>
      <c r="J1050" s="29"/>
      <c r="K1050" s="29"/>
      <c r="L1050" s="29"/>
      <c r="M1050" s="29"/>
      <c r="N1050" s="29"/>
    </row>
    <row r="1051" spans="5:14" ht="12.5">
      <c r="E1051" s="29"/>
      <c r="F1051" s="30"/>
      <c r="G1051" s="29"/>
      <c r="H1051" s="30"/>
      <c r="I1051" s="29"/>
      <c r="J1051" s="29"/>
      <c r="K1051" s="29"/>
      <c r="L1051" s="29"/>
      <c r="M1051" s="29"/>
      <c r="N1051" s="29"/>
    </row>
    <row r="1052" spans="5:14" ht="12.5">
      <c r="E1052" s="29"/>
      <c r="F1052" s="30"/>
      <c r="G1052" s="29"/>
      <c r="H1052" s="30"/>
      <c r="I1052" s="29"/>
      <c r="J1052" s="29"/>
      <c r="K1052" s="29"/>
      <c r="L1052" s="29"/>
      <c r="M1052" s="29"/>
      <c r="N1052" s="29"/>
    </row>
    <row r="1053" spans="5:14" ht="12.5">
      <c r="E1053" s="29"/>
      <c r="F1053" s="30"/>
      <c r="G1053" s="29"/>
      <c r="H1053" s="30"/>
      <c r="I1053" s="29"/>
      <c r="J1053" s="29"/>
      <c r="K1053" s="29"/>
      <c r="L1053" s="29"/>
      <c r="M1053" s="29"/>
      <c r="N1053" s="29"/>
    </row>
    <row r="1054" spans="5:14" ht="12.5">
      <c r="E1054" s="29"/>
      <c r="F1054" s="30"/>
      <c r="G1054" s="29"/>
      <c r="H1054" s="30"/>
      <c r="I1054" s="29"/>
      <c r="J1054" s="29"/>
      <c r="K1054" s="29"/>
      <c r="L1054" s="29"/>
      <c r="M1054" s="29"/>
      <c r="N1054" s="29"/>
    </row>
    <row r="1055" spans="5:14" ht="12.5">
      <c r="E1055" s="29"/>
      <c r="F1055" s="30"/>
      <c r="G1055" s="29"/>
      <c r="H1055" s="30"/>
      <c r="I1055" s="29"/>
      <c r="J1055" s="29"/>
      <c r="K1055" s="29"/>
      <c r="L1055" s="29"/>
      <c r="M1055" s="29"/>
      <c r="N1055" s="29"/>
    </row>
    <row r="1056" spans="5:14" ht="12.5">
      <c r="E1056" s="29"/>
      <c r="F1056" s="30"/>
      <c r="G1056" s="29"/>
      <c r="H1056" s="30"/>
      <c r="I1056" s="29"/>
      <c r="J1056" s="29"/>
      <c r="K1056" s="29"/>
      <c r="L1056" s="29"/>
      <c r="M1056" s="29"/>
      <c r="N1056" s="29"/>
    </row>
    <row r="1057" spans="5:14" ht="12.5">
      <c r="E1057" s="29"/>
      <c r="F1057" s="30"/>
      <c r="G1057" s="29"/>
      <c r="H1057" s="30"/>
      <c r="I1057" s="29"/>
      <c r="J1057" s="29"/>
      <c r="K1057" s="29"/>
      <c r="L1057" s="29"/>
      <c r="M1057" s="29"/>
      <c r="N1057" s="29"/>
    </row>
    <row r="1058" spans="5:14" ht="12.5">
      <c r="E1058" s="29"/>
      <c r="F1058" s="30"/>
      <c r="G1058" s="29"/>
      <c r="H1058" s="30"/>
      <c r="I1058" s="29"/>
      <c r="J1058" s="29"/>
      <c r="K1058" s="29"/>
      <c r="L1058" s="29"/>
      <c r="M1058" s="29"/>
      <c r="N1058" s="29"/>
    </row>
    <row r="1059" spans="5:14" ht="12.5">
      <c r="E1059" s="29"/>
      <c r="F1059" s="30"/>
      <c r="G1059" s="29"/>
      <c r="H1059" s="30"/>
      <c r="I1059" s="29"/>
      <c r="J1059" s="29"/>
      <c r="K1059" s="29"/>
      <c r="L1059" s="29"/>
      <c r="M1059" s="29"/>
      <c r="N1059" s="29"/>
    </row>
    <row r="1060" spans="5:14" ht="12.5">
      <c r="E1060" s="29"/>
      <c r="F1060" s="30"/>
      <c r="G1060" s="29"/>
      <c r="H1060" s="30"/>
      <c r="I1060" s="29"/>
      <c r="J1060" s="29"/>
      <c r="K1060" s="29"/>
      <c r="L1060" s="29"/>
      <c r="M1060" s="29"/>
      <c r="N1060" s="29"/>
    </row>
    <row r="1061" spans="5:14" ht="12.5">
      <c r="E1061" s="29"/>
      <c r="F1061" s="30"/>
      <c r="G1061" s="29"/>
      <c r="H1061" s="30"/>
      <c r="I1061" s="29"/>
      <c r="J1061" s="29"/>
      <c r="K1061" s="29"/>
      <c r="L1061" s="29"/>
      <c r="M1061" s="29"/>
      <c r="N1061" s="29"/>
    </row>
    <row r="1062" spans="5:14" ht="12.5">
      <c r="E1062" s="29"/>
      <c r="F1062" s="30"/>
      <c r="G1062" s="29"/>
      <c r="H1062" s="30"/>
      <c r="I1062" s="29"/>
      <c r="J1062" s="29"/>
      <c r="K1062" s="29"/>
      <c r="L1062" s="29"/>
      <c r="M1062" s="29"/>
      <c r="N1062" s="29"/>
    </row>
    <row r="1063" spans="5:14" ht="12.5">
      <c r="E1063" s="29"/>
      <c r="F1063" s="30"/>
      <c r="G1063" s="29"/>
      <c r="H1063" s="30"/>
      <c r="I1063" s="29"/>
      <c r="J1063" s="29"/>
      <c r="K1063" s="29"/>
      <c r="L1063" s="29"/>
      <c r="M1063" s="29"/>
      <c r="N1063" s="29"/>
    </row>
    <row r="1064" spans="5:14" ht="12.5">
      <c r="E1064" s="29"/>
      <c r="F1064" s="30"/>
      <c r="G1064" s="29"/>
      <c r="H1064" s="30"/>
      <c r="I1064" s="29"/>
      <c r="J1064" s="29"/>
      <c r="K1064" s="29"/>
      <c r="L1064" s="29"/>
      <c r="M1064" s="29"/>
      <c r="N1064" s="29"/>
    </row>
    <row r="1065" spans="5:14" ht="12.5">
      <c r="E1065" s="29"/>
      <c r="F1065" s="30"/>
      <c r="G1065" s="29"/>
      <c r="H1065" s="30"/>
      <c r="I1065" s="29"/>
      <c r="J1065" s="29"/>
      <c r="K1065" s="29"/>
      <c r="L1065" s="29"/>
      <c r="M1065" s="29"/>
      <c r="N1065" s="29"/>
    </row>
    <row r="1066" spans="5:14" ht="12.5">
      <c r="E1066" s="29"/>
      <c r="F1066" s="30"/>
      <c r="G1066" s="29"/>
      <c r="H1066" s="30"/>
      <c r="I1066" s="29"/>
      <c r="J1066" s="29"/>
      <c r="K1066" s="29"/>
      <c r="L1066" s="29"/>
      <c r="M1066" s="29"/>
      <c r="N1066" s="29"/>
    </row>
    <row r="1067" spans="5:14" ht="12.5">
      <c r="E1067" s="29"/>
      <c r="F1067" s="30"/>
      <c r="G1067" s="29"/>
      <c r="H1067" s="30"/>
      <c r="I1067" s="29"/>
      <c r="J1067" s="29"/>
      <c r="K1067" s="29"/>
      <c r="L1067" s="29"/>
      <c r="M1067" s="29"/>
      <c r="N1067" s="29"/>
    </row>
    <row r="1068" spans="5:14" ht="12.5">
      <c r="E1068" s="29"/>
      <c r="F1068" s="30"/>
      <c r="G1068" s="29"/>
      <c r="H1068" s="30"/>
      <c r="I1068" s="29"/>
      <c r="J1068" s="29"/>
      <c r="K1068" s="29"/>
      <c r="L1068" s="29"/>
      <c r="M1068" s="29"/>
      <c r="N1068" s="29"/>
    </row>
    <row r="1069" spans="5:14" ht="12.5">
      <c r="E1069" s="29"/>
      <c r="F1069" s="30"/>
      <c r="G1069" s="29"/>
      <c r="H1069" s="30"/>
      <c r="I1069" s="29"/>
      <c r="J1069" s="29"/>
      <c r="K1069" s="29"/>
      <c r="L1069" s="29"/>
      <c r="M1069" s="29"/>
      <c r="N1069" s="29"/>
    </row>
    <row r="1070" spans="5:14" ht="12.5">
      <c r="E1070" s="29"/>
      <c r="F1070" s="30"/>
      <c r="G1070" s="29"/>
      <c r="H1070" s="30"/>
      <c r="I1070" s="29"/>
      <c r="J1070" s="29"/>
      <c r="K1070" s="29"/>
      <c r="L1070" s="29"/>
      <c r="M1070" s="29"/>
      <c r="N1070" s="29"/>
    </row>
    <row r="1071" spans="5:14" ht="12.5">
      <c r="E1071" s="29"/>
      <c r="F1071" s="30"/>
      <c r="G1071" s="29"/>
      <c r="H1071" s="30"/>
      <c r="I1071" s="29"/>
      <c r="J1071" s="29"/>
      <c r="K1071" s="29"/>
      <c r="L1071" s="29"/>
      <c r="M1071" s="29"/>
      <c r="N1071" s="29"/>
    </row>
    <row r="1072" spans="5:14" ht="12.5">
      <c r="E1072" s="29"/>
      <c r="F1072" s="30"/>
      <c r="G1072" s="29"/>
      <c r="H1072" s="30"/>
      <c r="I1072" s="29"/>
      <c r="J1072" s="29"/>
      <c r="K1072" s="29"/>
      <c r="L1072" s="29"/>
      <c r="M1072" s="29"/>
      <c r="N1072" s="29"/>
    </row>
    <row r="1073" spans="5:14" ht="12.5">
      <c r="E1073" s="29"/>
      <c r="F1073" s="30"/>
      <c r="G1073" s="29"/>
      <c r="H1073" s="30"/>
      <c r="I1073" s="29"/>
      <c r="J1073" s="29"/>
      <c r="K1073" s="29"/>
      <c r="L1073" s="29"/>
      <c r="M1073" s="29"/>
      <c r="N1073" s="29"/>
    </row>
    <row r="1074" spans="5:14" ht="12.5">
      <c r="E1074" s="29"/>
      <c r="F1074" s="30"/>
      <c r="G1074" s="29"/>
      <c r="H1074" s="30"/>
      <c r="I1074" s="29"/>
      <c r="J1074" s="29"/>
      <c r="K1074" s="29"/>
      <c r="L1074" s="29"/>
      <c r="M1074" s="29"/>
      <c r="N1074" s="29"/>
    </row>
    <row r="1075" spans="5:14" ht="12.5">
      <c r="E1075" s="29"/>
      <c r="F1075" s="30"/>
      <c r="G1075" s="29"/>
      <c r="H1075" s="30"/>
      <c r="I1075" s="29"/>
      <c r="J1075" s="29"/>
      <c r="K1075" s="29"/>
      <c r="L1075" s="29"/>
      <c r="M1075" s="29"/>
      <c r="N1075" s="29"/>
    </row>
    <row r="1076" spans="5:14" ht="12.5">
      <c r="E1076" s="29"/>
      <c r="F1076" s="30"/>
      <c r="G1076" s="29"/>
      <c r="H1076" s="30"/>
      <c r="I1076" s="29"/>
      <c r="J1076" s="29"/>
      <c r="K1076" s="29"/>
      <c r="L1076" s="29"/>
      <c r="M1076" s="29"/>
      <c r="N1076" s="29"/>
    </row>
    <row r="1077" spans="5:14" ht="12.5">
      <c r="E1077" s="29"/>
      <c r="F1077" s="30"/>
      <c r="G1077" s="29"/>
      <c r="H1077" s="30"/>
      <c r="I1077" s="29"/>
      <c r="J1077" s="29"/>
      <c r="K1077" s="29"/>
      <c r="L1077" s="29"/>
      <c r="M1077" s="29"/>
      <c r="N1077" s="29"/>
    </row>
    <row r="1078" spans="5:14" ht="12.5">
      <c r="E1078" s="29"/>
      <c r="F1078" s="30"/>
      <c r="G1078" s="29"/>
      <c r="H1078" s="30"/>
      <c r="I1078" s="29"/>
      <c r="J1078" s="29"/>
      <c r="K1078" s="29"/>
      <c r="L1078" s="29"/>
      <c r="M1078" s="29"/>
      <c r="N1078" s="29"/>
    </row>
    <row r="1079" spans="5:14" ht="12.5">
      <c r="E1079" s="29"/>
      <c r="F1079" s="30"/>
      <c r="G1079" s="29"/>
      <c r="H1079" s="30"/>
      <c r="I1079" s="29"/>
      <c r="J1079" s="29"/>
      <c r="K1079" s="29"/>
      <c r="L1079" s="29"/>
      <c r="M1079" s="29"/>
      <c r="N1079" s="29"/>
    </row>
    <row r="1080" spans="5:14" ht="12.5">
      <c r="E1080" s="29"/>
      <c r="F1080" s="30"/>
      <c r="G1080" s="29"/>
      <c r="H1080" s="30"/>
      <c r="I1080" s="29"/>
      <c r="J1080" s="29"/>
      <c r="K1080" s="29"/>
      <c r="L1080" s="29"/>
      <c r="M1080" s="29"/>
      <c r="N1080" s="29"/>
    </row>
    <row r="1081" spans="5:14" ht="12.5">
      <c r="E1081" s="29"/>
      <c r="F1081" s="30"/>
      <c r="G1081" s="29"/>
      <c r="H1081" s="30"/>
      <c r="I1081" s="29"/>
      <c r="J1081" s="29"/>
      <c r="K1081" s="29"/>
      <c r="L1081" s="29"/>
      <c r="M1081" s="29"/>
      <c r="N1081" s="29"/>
    </row>
    <row r="1082" spans="5:14" ht="12.5">
      <c r="E1082" s="29"/>
      <c r="F1082" s="30"/>
      <c r="G1082" s="29"/>
      <c r="H1082" s="30"/>
      <c r="I1082" s="29"/>
      <c r="J1082" s="29"/>
      <c r="K1082" s="29"/>
      <c r="L1082" s="29"/>
      <c r="M1082" s="29"/>
      <c r="N1082" s="29"/>
    </row>
    <row r="1083" spans="5:14" ht="12.5">
      <c r="E1083" s="29"/>
      <c r="F1083" s="30"/>
      <c r="G1083" s="29"/>
      <c r="H1083" s="30"/>
      <c r="I1083" s="29"/>
      <c r="J1083" s="29"/>
      <c r="K1083" s="29"/>
      <c r="L1083" s="29"/>
      <c r="M1083" s="29"/>
      <c r="N1083" s="29"/>
    </row>
    <row r="1084" spans="5:14" ht="12.5">
      <c r="E1084" s="29"/>
      <c r="F1084" s="30"/>
      <c r="G1084" s="29"/>
      <c r="H1084" s="30"/>
      <c r="I1084" s="29"/>
      <c r="J1084" s="29"/>
      <c r="K1084" s="29"/>
      <c r="L1084" s="29"/>
      <c r="M1084" s="29"/>
      <c r="N1084" s="29"/>
    </row>
    <row r="1085" spans="5:14" ht="12.5">
      <c r="E1085" s="29"/>
      <c r="F1085" s="30"/>
      <c r="G1085" s="29"/>
      <c r="H1085" s="30"/>
      <c r="I1085" s="29"/>
      <c r="J1085" s="29"/>
      <c r="K1085" s="29"/>
      <c r="L1085" s="29"/>
      <c r="M1085" s="29"/>
      <c r="N1085" s="29"/>
    </row>
    <row r="1086" spans="5:14" ht="12.5">
      <c r="E1086" s="29"/>
      <c r="F1086" s="30"/>
      <c r="G1086" s="29"/>
      <c r="H1086" s="30"/>
      <c r="I1086" s="29"/>
      <c r="J1086" s="29"/>
      <c r="K1086" s="29"/>
      <c r="L1086" s="29"/>
      <c r="M1086" s="29"/>
      <c r="N1086" s="29"/>
    </row>
    <row r="1087" spans="5:14" ht="12.5">
      <c r="E1087" s="29"/>
      <c r="F1087" s="30"/>
      <c r="G1087" s="29"/>
      <c r="H1087" s="30"/>
      <c r="I1087" s="29"/>
      <c r="J1087" s="29"/>
      <c r="K1087" s="29"/>
      <c r="L1087" s="29"/>
      <c r="M1087" s="29"/>
      <c r="N1087" s="29"/>
    </row>
    <row r="1088" spans="5:14" ht="12.5">
      <c r="E1088" s="29"/>
      <c r="F1088" s="30"/>
      <c r="G1088" s="29"/>
      <c r="H1088" s="30"/>
      <c r="I1088" s="29"/>
      <c r="J1088" s="29"/>
      <c r="K1088" s="29"/>
      <c r="L1088" s="29"/>
      <c r="M1088" s="29"/>
      <c r="N1088" s="29"/>
    </row>
    <row r="1089" spans="5:14" ht="12.5">
      <c r="E1089" s="29"/>
      <c r="F1089" s="30"/>
      <c r="G1089" s="29"/>
      <c r="H1089" s="30"/>
      <c r="I1089" s="29"/>
      <c r="J1089" s="29"/>
      <c r="K1089" s="29"/>
      <c r="L1089" s="29"/>
      <c r="M1089" s="29"/>
      <c r="N1089" s="29"/>
    </row>
    <row r="1090" spans="5:14" ht="12.5">
      <c r="E1090" s="29"/>
      <c r="F1090" s="30"/>
      <c r="G1090" s="29"/>
      <c r="H1090" s="30"/>
      <c r="I1090" s="29"/>
      <c r="J1090" s="29"/>
      <c r="K1090" s="29"/>
      <c r="L1090" s="29"/>
      <c r="M1090" s="29"/>
      <c r="N1090" s="29"/>
    </row>
    <row r="1091" spans="5:14" ht="12.5">
      <c r="E1091" s="29"/>
      <c r="F1091" s="30"/>
      <c r="G1091" s="29"/>
      <c r="H1091" s="30"/>
      <c r="I1091" s="29"/>
      <c r="J1091" s="29"/>
      <c r="K1091" s="29"/>
      <c r="L1091" s="29"/>
      <c r="M1091" s="29"/>
      <c r="N1091" s="29"/>
    </row>
    <row r="1092" spans="5:14" ht="12.5">
      <c r="E1092" s="29"/>
      <c r="F1092" s="30"/>
      <c r="G1092" s="29"/>
      <c r="H1092" s="30"/>
      <c r="I1092" s="29"/>
      <c r="J1092" s="29"/>
      <c r="K1092" s="29"/>
      <c r="L1092" s="29"/>
      <c r="M1092" s="29"/>
      <c r="N1092" s="29"/>
    </row>
    <row r="1093" spans="5:14" ht="12.5">
      <c r="E1093" s="29"/>
      <c r="F1093" s="30"/>
      <c r="G1093" s="29"/>
      <c r="H1093" s="30"/>
      <c r="I1093" s="29"/>
      <c r="J1093" s="29"/>
      <c r="K1093" s="29"/>
      <c r="L1093" s="29"/>
      <c r="M1093" s="29"/>
      <c r="N1093" s="29"/>
    </row>
    <row r="1094" spans="5:14" ht="12.5">
      <c r="E1094" s="29"/>
      <c r="F1094" s="30"/>
      <c r="G1094" s="29"/>
      <c r="H1094" s="30"/>
      <c r="I1094" s="29"/>
      <c r="J1094" s="29"/>
      <c r="K1094" s="29"/>
      <c r="L1094" s="29"/>
      <c r="M1094" s="29"/>
      <c r="N1094" s="29"/>
    </row>
    <row r="1095" spans="5:14" ht="12.5">
      <c r="E1095" s="29"/>
      <c r="F1095" s="30"/>
      <c r="G1095" s="29"/>
      <c r="H1095" s="30"/>
      <c r="I1095" s="29"/>
      <c r="J1095" s="29"/>
      <c r="K1095" s="29"/>
      <c r="L1095" s="29"/>
      <c r="M1095" s="29"/>
      <c r="N1095" s="29"/>
    </row>
    <row r="1096" spans="5:14" ht="12.5">
      <c r="E1096" s="29"/>
      <c r="F1096" s="30"/>
      <c r="G1096" s="29"/>
      <c r="H1096" s="30"/>
      <c r="I1096" s="29"/>
      <c r="J1096" s="29"/>
      <c r="K1096" s="29"/>
      <c r="L1096" s="29"/>
      <c r="M1096" s="29"/>
      <c r="N1096" s="29"/>
    </row>
    <row r="1097" spans="5:14" ht="12.5">
      <c r="E1097" s="29"/>
      <c r="F1097" s="30"/>
      <c r="G1097" s="29"/>
      <c r="H1097" s="30"/>
      <c r="I1097" s="29"/>
      <c r="J1097" s="29"/>
      <c r="K1097" s="29"/>
      <c r="L1097" s="29"/>
      <c r="M1097" s="29"/>
      <c r="N1097" s="29"/>
    </row>
    <row r="1098" spans="5:14" ht="12.5">
      <c r="E1098" s="29"/>
      <c r="F1098" s="30"/>
      <c r="G1098" s="29"/>
      <c r="H1098" s="30"/>
      <c r="I1098" s="29"/>
      <c r="J1098" s="29"/>
      <c r="K1098" s="29"/>
      <c r="L1098" s="29"/>
      <c r="M1098" s="29"/>
      <c r="N1098" s="29"/>
    </row>
    <row r="1099" spans="5:14" ht="12.5">
      <c r="E1099" s="29"/>
      <c r="F1099" s="30"/>
      <c r="G1099" s="29"/>
      <c r="H1099" s="30"/>
      <c r="I1099" s="29"/>
      <c r="J1099" s="29"/>
      <c r="K1099" s="29"/>
      <c r="L1099" s="29"/>
      <c r="M1099" s="29"/>
      <c r="N1099" s="29"/>
    </row>
    <row r="1100" spans="5:14" ht="12.5">
      <c r="E1100" s="29"/>
      <c r="F1100" s="30"/>
      <c r="G1100" s="29"/>
      <c r="H1100" s="30"/>
      <c r="I1100" s="29"/>
      <c r="J1100" s="29"/>
      <c r="K1100" s="29"/>
      <c r="L1100" s="29"/>
      <c r="M1100" s="29"/>
      <c r="N1100" s="29"/>
    </row>
    <row r="1101" spans="5:14" ht="12.5">
      <c r="E1101" s="29"/>
      <c r="F1101" s="30"/>
      <c r="G1101" s="29"/>
      <c r="H1101" s="30"/>
      <c r="I1101" s="29"/>
      <c r="J1101" s="29"/>
      <c r="K1101" s="29"/>
      <c r="L1101" s="29"/>
      <c r="M1101" s="29"/>
      <c r="N1101" s="29"/>
    </row>
    <row r="1102" spans="5:14" ht="12.5">
      <c r="E1102" s="29"/>
      <c r="F1102" s="30"/>
      <c r="G1102" s="29"/>
      <c r="H1102" s="30"/>
      <c r="I1102" s="29"/>
      <c r="J1102" s="29"/>
      <c r="K1102" s="29"/>
      <c r="L1102" s="29"/>
      <c r="M1102" s="29"/>
      <c r="N1102" s="29"/>
    </row>
    <row r="1103" spans="5:14" ht="12.5">
      <c r="E1103" s="29"/>
      <c r="F1103" s="30"/>
      <c r="G1103" s="29"/>
      <c r="H1103" s="30"/>
      <c r="I1103" s="29"/>
      <c r="J1103" s="29"/>
      <c r="K1103" s="29"/>
      <c r="L1103" s="29"/>
      <c r="M1103" s="29"/>
      <c r="N1103" s="29"/>
    </row>
    <row r="1104" spans="5:14" ht="12.5">
      <c r="E1104" s="29"/>
      <c r="F1104" s="30"/>
      <c r="G1104" s="29"/>
      <c r="H1104" s="30"/>
      <c r="I1104" s="29"/>
      <c r="J1104" s="29"/>
      <c r="K1104" s="29"/>
      <c r="L1104" s="29"/>
      <c r="M1104" s="29"/>
      <c r="N1104" s="29"/>
    </row>
    <row r="1105" spans="5:14" ht="12.5">
      <c r="E1105" s="29"/>
      <c r="F1105" s="30"/>
      <c r="G1105" s="29"/>
      <c r="H1105" s="30"/>
      <c r="I1105" s="29"/>
      <c r="J1105" s="29"/>
      <c r="K1105" s="29"/>
      <c r="L1105" s="29"/>
      <c r="M1105" s="29"/>
      <c r="N1105" s="29"/>
    </row>
    <row r="1106" spans="5:14" ht="12.5">
      <c r="E1106" s="29"/>
      <c r="F1106" s="30"/>
      <c r="G1106" s="29"/>
      <c r="H1106" s="30"/>
      <c r="I1106" s="29"/>
      <c r="J1106" s="29"/>
      <c r="K1106" s="29"/>
      <c r="L1106" s="29"/>
      <c r="M1106" s="29"/>
      <c r="N1106" s="29"/>
    </row>
    <row r="1107" spans="5:14" ht="12.5">
      <c r="E1107" s="29"/>
      <c r="F1107" s="30"/>
      <c r="G1107" s="29"/>
      <c r="H1107" s="30"/>
      <c r="I1107" s="29"/>
      <c r="J1107" s="29"/>
      <c r="K1107" s="29"/>
      <c r="L1107" s="29"/>
      <c r="M1107" s="29"/>
      <c r="N1107" s="29"/>
    </row>
    <row r="1108" spans="5:14" ht="12.5">
      <c r="E1108" s="29"/>
      <c r="F1108" s="30"/>
      <c r="G1108" s="29"/>
      <c r="H1108" s="30"/>
      <c r="I1108" s="29"/>
      <c r="J1108" s="29"/>
      <c r="K1108" s="29"/>
      <c r="L1108" s="29"/>
      <c r="M1108" s="29"/>
      <c r="N1108" s="29"/>
    </row>
    <row r="1109" spans="5:14" ht="12.5">
      <c r="E1109" s="29"/>
      <c r="F1109" s="30"/>
      <c r="G1109" s="29"/>
      <c r="H1109" s="30"/>
      <c r="I1109" s="29"/>
      <c r="J1109" s="29"/>
      <c r="K1109" s="29"/>
      <c r="L1109" s="29"/>
      <c r="M1109" s="29"/>
      <c r="N1109" s="29"/>
    </row>
    <row r="1110" spans="5:14" ht="12.5">
      <c r="E1110" s="29"/>
      <c r="F1110" s="30"/>
      <c r="G1110" s="29"/>
      <c r="H1110" s="30"/>
      <c r="I1110" s="29"/>
      <c r="J1110" s="29"/>
      <c r="K1110" s="29"/>
      <c r="L1110" s="29"/>
      <c r="M1110" s="29"/>
      <c r="N1110" s="29"/>
    </row>
    <row r="1111" spans="5:14" ht="12.5">
      <c r="E1111" s="29"/>
      <c r="F1111" s="30"/>
      <c r="G1111" s="29"/>
      <c r="H1111" s="30"/>
      <c r="I1111" s="29"/>
      <c r="J1111" s="29"/>
      <c r="K1111" s="29"/>
      <c r="L1111" s="29"/>
      <c r="M1111" s="29"/>
      <c r="N1111" s="29"/>
    </row>
    <row r="1112" spans="5:14" ht="12.5">
      <c r="E1112" s="29"/>
      <c r="F1112" s="30"/>
      <c r="G1112" s="29"/>
      <c r="H1112" s="30"/>
      <c r="I1112" s="29"/>
      <c r="J1112" s="29"/>
      <c r="K1112" s="29"/>
      <c r="L1112" s="29"/>
      <c r="M1112" s="29"/>
      <c r="N1112" s="29"/>
    </row>
    <row r="1113" spans="5:14" ht="12.5">
      <c r="E1113" s="29"/>
      <c r="F1113" s="30"/>
      <c r="G1113" s="29"/>
      <c r="H1113" s="30"/>
      <c r="I1113" s="29"/>
      <c r="J1113" s="29"/>
      <c r="K1113" s="29"/>
      <c r="L1113" s="29"/>
      <c r="M1113" s="29"/>
      <c r="N1113" s="29"/>
    </row>
    <row r="1114" spans="5:14" ht="12.5">
      <c r="E1114" s="29"/>
      <c r="F1114" s="30"/>
      <c r="G1114" s="29"/>
      <c r="H1114" s="30"/>
      <c r="I1114" s="29"/>
      <c r="J1114" s="29"/>
      <c r="K1114" s="29"/>
      <c r="L1114" s="29"/>
      <c r="M1114" s="29"/>
      <c r="N1114" s="29"/>
    </row>
    <row r="1115" spans="5:14" ht="12.5">
      <c r="E1115" s="29"/>
      <c r="F1115" s="30"/>
      <c r="G1115" s="29"/>
      <c r="H1115" s="30"/>
      <c r="I1115" s="29"/>
      <c r="J1115" s="29"/>
      <c r="K1115" s="29"/>
      <c r="L1115" s="29"/>
      <c r="M1115" s="29"/>
      <c r="N1115" s="29"/>
    </row>
    <row r="1116" spans="5:14" ht="12.5">
      <c r="E1116" s="29"/>
      <c r="F1116" s="30"/>
      <c r="G1116" s="29"/>
      <c r="H1116" s="30"/>
      <c r="I1116" s="29"/>
      <c r="J1116" s="29"/>
      <c r="K1116" s="29"/>
      <c r="L1116" s="29"/>
      <c r="M1116" s="29"/>
      <c r="N1116" s="29"/>
    </row>
    <row r="1117" spans="5:14" ht="12.5">
      <c r="E1117" s="29"/>
      <c r="F1117" s="30"/>
      <c r="G1117" s="29"/>
      <c r="H1117" s="30"/>
      <c r="I1117" s="29"/>
      <c r="J1117" s="29"/>
      <c r="K1117" s="29"/>
      <c r="L1117" s="29"/>
      <c r="M1117" s="29"/>
      <c r="N1117" s="29"/>
    </row>
    <row r="1118" spans="5:14" ht="12.5">
      <c r="E1118" s="29"/>
      <c r="F1118" s="30"/>
      <c r="G1118" s="29"/>
      <c r="H1118" s="30"/>
      <c r="I1118" s="29"/>
      <c r="J1118" s="29"/>
      <c r="K1118" s="29"/>
      <c r="L1118" s="29"/>
      <c r="M1118" s="29"/>
      <c r="N1118" s="29"/>
    </row>
    <row r="1119" spans="5:14" ht="12.5">
      <c r="E1119" s="29"/>
      <c r="F1119" s="30"/>
      <c r="G1119" s="29"/>
      <c r="H1119" s="30"/>
      <c r="I1119" s="29"/>
      <c r="J1119" s="29"/>
      <c r="K1119" s="29"/>
      <c r="L1119" s="29"/>
      <c r="M1119" s="29"/>
      <c r="N1119" s="29"/>
    </row>
    <row r="1120" spans="5:14" ht="12.5">
      <c r="E1120" s="29"/>
      <c r="F1120" s="30"/>
      <c r="G1120" s="29"/>
      <c r="H1120" s="30"/>
      <c r="I1120" s="29"/>
      <c r="J1120" s="29"/>
      <c r="K1120" s="29"/>
      <c r="L1120" s="29"/>
      <c r="M1120" s="29"/>
      <c r="N1120" s="29"/>
    </row>
    <row r="1121" spans="5:14" ht="12.5">
      <c r="E1121" s="29"/>
      <c r="F1121" s="30"/>
      <c r="G1121" s="29"/>
      <c r="H1121" s="30"/>
      <c r="I1121" s="29"/>
      <c r="J1121" s="29"/>
      <c r="K1121" s="29"/>
      <c r="L1121" s="29"/>
      <c r="M1121" s="29"/>
      <c r="N1121" s="29"/>
    </row>
    <row r="1122" spans="5:14" ht="12.5">
      <c r="E1122" s="29"/>
      <c r="F1122" s="30"/>
      <c r="G1122" s="29"/>
      <c r="H1122" s="30"/>
      <c r="I1122" s="29"/>
      <c r="J1122" s="29"/>
      <c r="K1122" s="29"/>
      <c r="L1122" s="29"/>
      <c r="M1122" s="29"/>
      <c r="N1122" s="29"/>
    </row>
    <row r="1123" spans="5:14" ht="12.5">
      <c r="E1123" s="29"/>
      <c r="F1123" s="30"/>
      <c r="G1123" s="29"/>
      <c r="H1123" s="30"/>
      <c r="I1123" s="29"/>
      <c r="J1123" s="29"/>
      <c r="K1123" s="29"/>
      <c r="L1123" s="29"/>
      <c r="M1123" s="29"/>
      <c r="N1123" s="29"/>
    </row>
    <row r="1124" spans="5:14" ht="12.5">
      <c r="E1124" s="29"/>
      <c r="F1124" s="30"/>
      <c r="G1124" s="29"/>
      <c r="H1124" s="30"/>
      <c r="I1124" s="29"/>
      <c r="J1124" s="29"/>
      <c r="K1124" s="29"/>
      <c r="L1124" s="29"/>
      <c r="M1124" s="29"/>
      <c r="N1124" s="29"/>
    </row>
    <row r="1125" spans="5:14" ht="12.5">
      <c r="E1125" s="29"/>
      <c r="F1125" s="30"/>
      <c r="G1125" s="29"/>
      <c r="H1125" s="30"/>
      <c r="I1125" s="29"/>
      <c r="J1125" s="29"/>
      <c r="K1125" s="29"/>
      <c r="L1125" s="29"/>
      <c r="M1125" s="29"/>
      <c r="N1125" s="29"/>
    </row>
    <row r="1126" spans="5:14" ht="12.5">
      <c r="E1126" s="29"/>
      <c r="F1126" s="30"/>
      <c r="G1126" s="29"/>
      <c r="H1126" s="30"/>
      <c r="I1126" s="29"/>
      <c r="J1126" s="29"/>
      <c r="K1126" s="29"/>
      <c r="L1126" s="29"/>
      <c r="M1126" s="29"/>
      <c r="N1126" s="29"/>
    </row>
    <row r="1127" spans="5:14" ht="12.5">
      <c r="E1127" s="29"/>
      <c r="F1127" s="30"/>
      <c r="G1127" s="29"/>
      <c r="H1127" s="30"/>
      <c r="I1127" s="29"/>
      <c r="J1127" s="29"/>
      <c r="K1127" s="29"/>
      <c r="L1127" s="29"/>
      <c r="M1127" s="29"/>
      <c r="N1127" s="29"/>
    </row>
    <row r="1128" spans="5:14" ht="12.5">
      <c r="E1128" s="29"/>
      <c r="F1128" s="30"/>
      <c r="G1128" s="29"/>
      <c r="H1128" s="30"/>
      <c r="I1128" s="29"/>
      <c r="J1128" s="29"/>
      <c r="K1128" s="29"/>
      <c r="L1128" s="29"/>
      <c r="M1128" s="29"/>
      <c r="N1128" s="29"/>
    </row>
    <row r="1129" spans="5:14" ht="12.5">
      <c r="E1129" s="29"/>
      <c r="F1129" s="30"/>
      <c r="G1129" s="29"/>
      <c r="H1129" s="30"/>
      <c r="I1129" s="29"/>
      <c r="J1129" s="29"/>
      <c r="K1129" s="29"/>
      <c r="L1129" s="29"/>
      <c r="M1129" s="29"/>
      <c r="N1129" s="29"/>
    </row>
    <row r="1130" spans="5:14" ht="12.5">
      <c r="E1130" s="29"/>
      <c r="F1130" s="30"/>
      <c r="G1130" s="29"/>
      <c r="H1130" s="30"/>
      <c r="I1130" s="29"/>
      <c r="J1130" s="29"/>
      <c r="K1130" s="29"/>
      <c r="L1130" s="29"/>
      <c r="M1130" s="29"/>
      <c r="N1130" s="29"/>
    </row>
    <row r="1131" spans="5:14" ht="12.5">
      <c r="E1131" s="29"/>
      <c r="F1131" s="30"/>
      <c r="G1131" s="29"/>
      <c r="H1131" s="30"/>
      <c r="I1131" s="29"/>
      <c r="J1131" s="29"/>
      <c r="K1131" s="29"/>
      <c r="L1131" s="29"/>
      <c r="M1131" s="29"/>
      <c r="N1131" s="29"/>
    </row>
    <row r="1132" spans="5:14" ht="12.5">
      <c r="E1132" s="29"/>
      <c r="F1132" s="30"/>
      <c r="G1132" s="29"/>
      <c r="H1132" s="30"/>
      <c r="I1132" s="29"/>
      <c r="J1132" s="29"/>
      <c r="K1132" s="29"/>
      <c r="L1132" s="29"/>
      <c r="M1132" s="29"/>
      <c r="N1132" s="29"/>
    </row>
    <row r="1133" spans="5:14" ht="12.5">
      <c r="E1133" s="29"/>
      <c r="F1133" s="30"/>
      <c r="G1133" s="29"/>
      <c r="H1133" s="30"/>
      <c r="I1133" s="29"/>
      <c r="J1133" s="29"/>
      <c r="K1133" s="29"/>
      <c r="L1133" s="29"/>
      <c r="M1133" s="29"/>
      <c r="N1133" s="29"/>
    </row>
    <row r="1134" spans="5:14" ht="12.5">
      <c r="E1134" s="29"/>
      <c r="F1134" s="30"/>
      <c r="G1134" s="29"/>
      <c r="H1134" s="30"/>
      <c r="I1134" s="29"/>
      <c r="J1134" s="29"/>
      <c r="K1134" s="29"/>
      <c r="L1134" s="29"/>
      <c r="M1134" s="29"/>
      <c r="N1134" s="29"/>
    </row>
    <row r="1135" spans="5:14" ht="12.5">
      <c r="E1135" s="29"/>
      <c r="F1135" s="30"/>
      <c r="G1135" s="29"/>
      <c r="H1135" s="30"/>
      <c r="I1135" s="29"/>
      <c r="J1135" s="29"/>
      <c r="K1135" s="29"/>
      <c r="L1135" s="29"/>
      <c r="M1135" s="29"/>
      <c r="N1135" s="29"/>
    </row>
    <row r="1136" spans="5:14" ht="12.5">
      <c r="E1136" s="29"/>
      <c r="F1136" s="30"/>
      <c r="G1136" s="29"/>
      <c r="H1136" s="30"/>
      <c r="I1136" s="29"/>
      <c r="J1136" s="29"/>
      <c r="K1136" s="29"/>
      <c r="L1136" s="29"/>
      <c r="M1136" s="29"/>
      <c r="N1136" s="29"/>
    </row>
    <row r="1137" spans="5:14" ht="12.5">
      <c r="E1137" s="29"/>
      <c r="F1137" s="30"/>
      <c r="G1137" s="29"/>
      <c r="H1137" s="30"/>
      <c r="I1137" s="29"/>
      <c r="J1137" s="29"/>
      <c r="K1137" s="29"/>
      <c r="L1137" s="29"/>
      <c r="M1137" s="29"/>
      <c r="N1137" s="29"/>
    </row>
    <row r="1138" spans="5:14" ht="12.5">
      <c r="E1138" s="29"/>
      <c r="F1138" s="30"/>
      <c r="G1138" s="29"/>
      <c r="H1138" s="30"/>
      <c r="I1138" s="29"/>
      <c r="J1138" s="29"/>
      <c r="K1138" s="29"/>
      <c r="L1138" s="29"/>
      <c r="M1138" s="29"/>
      <c r="N1138" s="29"/>
    </row>
    <row r="1139" spans="5:14" ht="12.5">
      <c r="E1139" s="29"/>
      <c r="F1139" s="30"/>
      <c r="G1139" s="29"/>
      <c r="H1139" s="30"/>
      <c r="I1139" s="29"/>
      <c r="J1139" s="29"/>
      <c r="K1139" s="29"/>
      <c r="L1139" s="29"/>
      <c r="M1139" s="29"/>
      <c r="N1139" s="29"/>
    </row>
    <row r="1140" spans="5:14" ht="12.5">
      <c r="E1140" s="29"/>
      <c r="F1140" s="30"/>
      <c r="G1140" s="29"/>
      <c r="H1140" s="30"/>
      <c r="I1140" s="29"/>
      <c r="J1140" s="29"/>
      <c r="K1140" s="29"/>
      <c r="L1140" s="29"/>
      <c r="M1140" s="29"/>
      <c r="N1140" s="29"/>
    </row>
    <row r="1141" spans="5:14" ht="12.5">
      <c r="E1141" s="29"/>
      <c r="F1141" s="30"/>
      <c r="G1141" s="29"/>
      <c r="H1141" s="30"/>
      <c r="I1141" s="29"/>
      <c r="J1141" s="29"/>
      <c r="K1141" s="29"/>
      <c r="L1141" s="29"/>
      <c r="M1141" s="29"/>
      <c r="N1141" s="29"/>
    </row>
    <row r="1142" spans="5:14" ht="12.5">
      <c r="E1142" s="29"/>
      <c r="F1142" s="30"/>
      <c r="G1142" s="29"/>
      <c r="H1142" s="30"/>
      <c r="I1142" s="29"/>
      <c r="J1142" s="29"/>
      <c r="K1142" s="29"/>
      <c r="L1142" s="29"/>
      <c r="M1142" s="29"/>
      <c r="N1142" s="29"/>
    </row>
    <row r="1143" spans="5:14" ht="12.5">
      <c r="E1143" s="29"/>
      <c r="F1143" s="30"/>
      <c r="G1143" s="29"/>
      <c r="H1143" s="30"/>
      <c r="I1143" s="29"/>
      <c r="J1143" s="29"/>
      <c r="K1143" s="29"/>
      <c r="L1143" s="29"/>
      <c r="M1143" s="29"/>
      <c r="N1143" s="29"/>
    </row>
    <row r="1144" spans="5:14" ht="12.5">
      <c r="E1144" s="29"/>
      <c r="F1144" s="30"/>
      <c r="G1144" s="29"/>
      <c r="H1144" s="30"/>
      <c r="I1144" s="29"/>
      <c r="J1144" s="29"/>
      <c r="K1144" s="29"/>
      <c r="L1144" s="29"/>
      <c r="M1144" s="29"/>
      <c r="N1144" s="29"/>
    </row>
    <row r="1145" spans="5:14" ht="12.5">
      <c r="E1145" s="29"/>
      <c r="F1145" s="30"/>
      <c r="G1145" s="29"/>
      <c r="H1145" s="30"/>
      <c r="I1145" s="29"/>
      <c r="J1145" s="29"/>
      <c r="K1145" s="29"/>
      <c r="L1145" s="29"/>
      <c r="M1145" s="29"/>
      <c r="N1145" s="29"/>
    </row>
    <row r="1146" spans="5:14" ht="12.5">
      <c r="E1146" s="29"/>
      <c r="F1146" s="30"/>
      <c r="G1146" s="29"/>
      <c r="H1146" s="30"/>
      <c r="I1146" s="29"/>
      <c r="J1146" s="29"/>
      <c r="K1146" s="29"/>
      <c r="L1146" s="29"/>
      <c r="M1146" s="29"/>
      <c r="N1146" s="29"/>
    </row>
    <row r="1147" spans="5:14" ht="12.5">
      <c r="E1147" s="29"/>
      <c r="F1147" s="30"/>
      <c r="G1147" s="29"/>
      <c r="H1147" s="30"/>
      <c r="I1147" s="29"/>
      <c r="J1147" s="29"/>
      <c r="K1147" s="29"/>
      <c r="L1147" s="29"/>
      <c r="M1147" s="29"/>
      <c r="N1147" s="29"/>
    </row>
    <row r="1148" spans="5:14" ht="12.5">
      <c r="E1148" s="29"/>
      <c r="F1148" s="30"/>
      <c r="G1148" s="29"/>
      <c r="H1148" s="30"/>
      <c r="I1148" s="29"/>
      <c r="J1148" s="29"/>
      <c r="K1148" s="29"/>
      <c r="L1148" s="29"/>
      <c r="M1148" s="29"/>
      <c r="N1148" s="29"/>
    </row>
    <row r="1149" spans="5:14" ht="12.5">
      <c r="E1149" s="29"/>
      <c r="F1149" s="30"/>
      <c r="G1149" s="29"/>
      <c r="H1149" s="30"/>
      <c r="I1149" s="29"/>
      <c r="J1149" s="29"/>
      <c r="K1149" s="29"/>
      <c r="L1149" s="29"/>
      <c r="M1149" s="29"/>
      <c r="N1149" s="29"/>
    </row>
    <row r="1150" spans="5:14" ht="12.5">
      <c r="E1150" s="29"/>
      <c r="F1150" s="30"/>
      <c r="G1150" s="29"/>
      <c r="H1150" s="30"/>
      <c r="I1150" s="29"/>
      <c r="J1150" s="29"/>
      <c r="K1150" s="29"/>
      <c r="L1150" s="29"/>
      <c r="M1150" s="29"/>
      <c r="N1150" s="29"/>
    </row>
    <row r="1151" spans="5:14" ht="12.5">
      <c r="E1151" s="29"/>
      <c r="F1151" s="30"/>
      <c r="G1151" s="29"/>
      <c r="H1151" s="30"/>
      <c r="I1151" s="29"/>
      <c r="J1151" s="29"/>
      <c r="K1151" s="29"/>
      <c r="L1151" s="29"/>
      <c r="M1151" s="29"/>
      <c r="N1151" s="29"/>
    </row>
    <row r="1152" spans="5:14" ht="12.5">
      <c r="E1152" s="29"/>
      <c r="F1152" s="30"/>
      <c r="G1152" s="29"/>
      <c r="H1152" s="30"/>
      <c r="I1152" s="29"/>
      <c r="J1152" s="29"/>
      <c r="K1152" s="29"/>
      <c r="L1152" s="29"/>
      <c r="M1152" s="29"/>
      <c r="N1152" s="29"/>
    </row>
    <row r="1153" spans="5:14" ht="12.5">
      <c r="E1153" s="29"/>
      <c r="F1153" s="30"/>
      <c r="G1153" s="29"/>
      <c r="H1153" s="30"/>
      <c r="I1153" s="29"/>
      <c r="J1153" s="29"/>
      <c r="K1153" s="29"/>
      <c r="L1153" s="29"/>
      <c r="M1153" s="29"/>
      <c r="N1153" s="29"/>
    </row>
    <row r="1154" spans="5:14" ht="12.5">
      <c r="E1154" s="29"/>
      <c r="F1154" s="30"/>
      <c r="G1154" s="29"/>
      <c r="H1154" s="30"/>
      <c r="I1154" s="29"/>
      <c r="J1154" s="29"/>
      <c r="K1154" s="29"/>
      <c r="L1154" s="29"/>
      <c r="M1154" s="29"/>
      <c r="N1154" s="29"/>
    </row>
    <row r="1155" spans="5:14" ht="12.5">
      <c r="E1155" s="29"/>
      <c r="F1155" s="30"/>
      <c r="G1155" s="29"/>
      <c r="H1155" s="30"/>
      <c r="I1155" s="29"/>
      <c r="J1155" s="29"/>
      <c r="K1155" s="29"/>
      <c r="L1155" s="29"/>
      <c r="M1155" s="29"/>
      <c r="N1155" s="29"/>
    </row>
    <row r="1156" spans="5:14" ht="12.5">
      <c r="E1156" s="29"/>
      <c r="F1156" s="30"/>
      <c r="G1156" s="29"/>
      <c r="H1156" s="30"/>
      <c r="I1156" s="29"/>
      <c r="J1156" s="29"/>
      <c r="K1156" s="29"/>
      <c r="L1156" s="29"/>
      <c r="M1156" s="29"/>
      <c r="N1156" s="29"/>
    </row>
    <row r="1157" spans="5:14" ht="12.5">
      <c r="E1157" s="29"/>
      <c r="F1157" s="30"/>
      <c r="G1157" s="29"/>
      <c r="H1157" s="30"/>
      <c r="I1157" s="29"/>
      <c r="J1157" s="29"/>
      <c r="K1157" s="29"/>
      <c r="L1157" s="29"/>
      <c r="M1157" s="29"/>
      <c r="N1157" s="29"/>
    </row>
    <row r="1158" spans="5:14" ht="12.5">
      <c r="E1158" s="29"/>
      <c r="F1158" s="30"/>
      <c r="G1158" s="29"/>
      <c r="H1158" s="30"/>
      <c r="I1158" s="29"/>
      <c r="J1158" s="29"/>
      <c r="K1158" s="29"/>
      <c r="L1158" s="29"/>
      <c r="M1158" s="29"/>
      <c r="N1158" s="29"/>
    </row>
    <row r="1159" spans="5:14" ht="12.5">
      <c r="E1159" s="29"/>
      <c r="F1159" s="30"/>
      <c r="G1159" s="29"/>
      <c r="H1159" s="30"/>
      <c r="I1159" s="29"/>
      <c r="J1159" s="29"/>
      <c r="K1159" s="29"/>
      <c r="L1159" s="29"/>
      <c r="M1159" s="29"/>
      <c r="N1159" s="29"/>
    </row>
    <row r="1160" spans="5:14" ht="12.5">
      <c r="E1160" s="29"/>
      <c r="F1160" s="30"/>
      <c r="G1160" s="29"/>
      <c r="H1160" s="30"/>
      <c r="I1160" s="29"/>
      <c r="J1160" s="29"/>
      <c r="K1160" s="29"/>
      <c r="L1160" s="29"/>
      <c r="M1160" s="29"/>
      <c r="N1160" s="29"/>
    </row>
    <row r="1161" spans="5:14" ht="12.5">
      <c r="E1161" s="29"/>
      <c r="F1161" s="30"/>
      <c r="G1161" s="29"/>
      <c r="H1161" s="30"/>
      <c r="I1161" s="29"/>
      <c r="J1161" s="29"/>
      <c r="K1161" s="29"/>
      <c r="L1161" s="29"/>
      <c r="M1161" s="29"/>
      <c r="N1161" s="29"/>
    </row>
    <row r="1162" spans="5:14" ht="12.5">
      <c r="E1162" s="29"/>
      <c r="F1162" s="30"/>
      <c r="G1162" s="29"/>
      <c r="H1162" s="30"/>
      <c r="I1162" s="29"/>
      <c r="J1162" s="29"/>
      <c r="K1162" s="29"/>
      <c r="L1162" s="29"/>
      <c r="M1162" s="29"/>
      <c r="N1162" s="29"/>
    </row>
    <row r="1163" spans="5:14" ht="12.5">
      <c r="E1163" s="29"/>
      <c r="F1163" s="30"/>
      <c r="G1163" s="29"/>
      <c r="H1163" s="30"/>
      <c r="I1163" s="29"/>
      <c r="J1163" s="29"/>
      <c r="K1163" s="29"/>
      <c r="L1163" s="29"/>
      <c r="M1163" s="29"/>
      <c r="N1163" s="29"/>
    </row>
    <row r="1164" spans="5:14" ht="12.5">
      <c r="E1164" s="29"/>
      <c r="F1164" s="30"/>
      <c r="G1164" s="29"/>
      <c r="H1164" s="30"/>
      <c r="I1164" s="29"/>
      <c r="J1164" s="29"/>
      <c r="K1164" s="29"/>
      <c r="L1164" s="29"/>
      <c r="M1164" s="29"/>
      <c r="N1164" s="29"/>
    </row>
    <row r="1165" spans="5:14" ht="12.5">
      <c r="E1165" s="29"/>
      <c r="F1165" s="30"/>
      <c r="G1165" s="29"/>
      <c r="H1165" s="30"/>
      <c r="I1165" s="29"/>
      <c r="J1165" s="29"/>
      <c r="K1165" s="29"/>
      <c r="L1165" s="29"/>
      <c r="M1165" s="29"/>
      <c r="N1165" s="29"/>
    </row>
    <row r="1166" spans="5:14" ht="12.5">
      <c r="E1166" s="29"/>
      <c r="F1166" s="30"/>
      <c r="G1166" s="29"/>
      <c r="H1166" s="30"/>
      <c r="I1166" s="29"/>
      <c r="J1166" s="29"/>
      <c r="K1166" s="29"/>
      <c r="L1166" s="29"/>
      <c r="M1166" s="29"/>
      <c r="N1166" s="29"/>
    </row>
    <row r="1167" spans="5:14" ht="12.5">
      <c r="E1167" s="29"/>
      <c r="F1167" s="30"/>
      <c r="G1167" s="29"/>
      <c r="H1167" s="30"/>
      <c r="I1167" s="29"/>
      <c r="J1167" s="29"/>
      <c r="K1167" s="29"/>
      <c r="L1167" s="29"/>
      <c r="M1167" s="29"/>
      <c r="N1167" s="29"/>
    </row>
    <row r="1168" spans="5:14" ht="12.5">
      <c r="E1168" s="29"/>
      <c r="F1168" s="30"/>
      <c r="G1168" s="29"/>
      <c r="H1168" s="30"/>
      <c r="I1168" s="29"/>
      <c r="J1168" s="29"/>
      <c r="K1168" s="29"/>
      <c r="L1168" s="29"/>
      <c r="M1168" s="29"/>
      <c r="N1168" s="29"/>
    </row>
    <row r="1169" spans="5:14" ht="12.5">
      <c r="E1169" s="29"/>
      <c r="F1169" s="30"/>
      <c r="G1169" s="29"/>
      <c r="H1169" s="30"/>
      <c r="I1169" s="29"/>
      <c r="J1169" s="29"/>
      <c r="K1169" s="29"/>
      <c r="L1169" s="29"/>
      <c r="M1169" s="29"/>
      <c r="N1169" s="29"/>
    </row>
    <row r="1170" spans="5:14" ht="12.5">
      <c r="E1170" s="29"/>
      <c r="F1170" s="30"/>
      <c r="G1170" s="29"/>
      <c r="H1170" s="30"/>
      <c r="I1170" s="29"/>
      <c r="J1170" s="29"/>
      <c r="K1170" s="29"/>
      <c r="L1170" s="29"/>
      <c r="M1170" s="29"/>
      <c r="N1170" s="29"/>
    </row>
    <row r="1171" spans="5:14" ht="12.5">
      <c r="E1171" s="29"/>
      <c r="F1171" s="30"/>
      <c r="G1171" s="29"/>
      <c r="H1171" s="30"/>
      <c r="I1171" s="29"/>
      <c r="J1171" s="29"/>
      <c r="K1171" s="29"/>
      <c r="L1171" s="29"/>
      <c r="M1171" s="29"/>
      <c r="N1171" s="29"/>
    </row>
    <row r="1172" spans="5:14" ht="12.5">
      <c r="E1172" s="29"/>
      <c r="F1172" s="30"/>
      <c r="G1172" s="29"/>
      <c r="H1172" s="30"/>
      <c r="I1172" s="29"/>
      <c r="J1172" s="29"/>
      <c r="K1172" s="29"/>
      <c r="L1172" s="29"/>
      <c r="M1172" s="29"/>
      <c r="N1172" s="29"/>
    </row>
    <row r="1173" spans="5:14" ht="12.5">
      <c r="E1173" s="29"/>
      <c r="F1173" s="30"/>
      <c r="G1173" s="29"/>
      <c r="H1173" s="30"/>
      <c r="I1173" s="29"/>
      <c r="J1173" s="29"/>
      <c r="K1173" s="29"/>
      <c r="L1173" s="29"/>
      <c r="M1173" s="29"/>
      <c r="N1173" s="29"/>
    </row>
    <row r="1174" spans="5:14" ht="12.5">
      <c r="E1174" s="29"/>
      <c r="F1174" s="30"/>
      <c r="G1174" s="29"/>
      <c r="H1174" s="30"/>
      <c r="I1174" s="29"/>
      <c r="J1174" s="29"/>
      <c r="K1174" s="29"/>
      <c r="L1174" s="29"/>
      <c r="M1174" s="29"/>
      <c r="N1174" s="29"/>
    </row>
    <row r="1175" spans="5:14" ht="12.5">
      <c r="E1175" s="29"/>
      <c r="F1175" s="30"/>
      <c r="G1175" s="29"/>
      <c r="H1175" s="30"/>
      <c r="I1175" s="29"/>
      <c r="J1175" s="29"/>
      <c r="K1175" s="29"/>
      <c r="L1175" s="29"/>
      <c r="M1175" s="29"/>
      <c r="N1175" s="29"/>
    </row>
    <row r="1176" spans="5:14" ht="12.5">
      <c r="E1176" s="29"/>
      <c r="F1176" s="30"/>
      <c r="G1176" s="29"/>
      <c r="H1176" s="30"/>
      <c r="I1176" s="29"/>
      <c r="J1176" s="29"/>
      <c r="K1176" s="29"/>
      <c r="L1176" s="29"/>
      <c r="M1176" s="29"/>
      <c r="N1176" s="29"/>
    </row>
    <row r="1177" spans="5:14" ht="12.5">
      <c r="E1177" s="29"/>
      <c r="F1177" s="30"/>
      <c r="G1177" s="29"/>
      <c r="H1177" s="30"/>
      <c r="I1177" s="29"/>
      <c r="J1177" s="29"/>
      <c r="K1177" s="29"/>
      <c r="L1177" s="29"/>
      <c r="M1177" s="29"/>
      <c r="N1177" s="29"/>
    </row>
    <row r="1178" spans="5:14" ht="12.5">
      <c r="E1178" s="29"/>
      <c r="F1178" s="30"/>
      <c r="G1178" s="29"/>
      <c r="H1178" s="30"/>
      <c r="I1178" s="29"/>
      <c r="J1178" s="29"/>
      <c r="K1178" s="29"/>
      <c r="L1178" s="29"/>
      <c r="M1178" s="29"/>
      <c r="N1178" s="29"/>
    </row>
    <row r="1179" spans="5:14" ht="12.5">
      <c r="E1179" s="29"/>
      <c r="F1179" s="30"/>
      <c r="G1179" s="29"/>
      <c r="H1179" s="30"/>
      <c r="I1179" s="29"/>
      <c r="J1179" s="29"/>
      <c r="K1179" s="29"/>
      <c r="L1179" s="29"/>
      <c r="M1179" s="29"/>
      <c r="N1179" s="29"/>
    </row>
    <row r="1180" spans="5:14" ht="12.5">
      <c r="E1180" s="29"/>
      <c r="F1180" s="30"/>
      <c r="G1180" s="29"/>
      <c r="H1180" s="30"/>
      <c r="I1180" s="29"/>
      <c r="J1180" s="29"/>
      <c r="K1180" s="29"/>
      <c r="L1180" s="29"/>
      <c r="M1180" s="29"/>
      <c r="N1180" s="29"/>
    </row>
    <row r="1181" spans="5:14" ht="12.5">
      <c r="E1181" s="29"/>
      <c r="F1181" s="30"/>
      <c r="G1181" s="29"/>
      <c r="H1181" s="30"/>
      <c r="I1181" s="29"/>
      <c r="J1181" s="29"/>
      <c r="K1181" s="29"/>
      <c r="L1181" s="29"/>
      <c r="M1181" s="29"/>
      <c r="N1181" s="29"/>
    </row>
    <row r="1182" spans="5:14" ht="12.5">
      <c r="E1182" s="29"/>
      <c r="F1182" s="30"/>
      <c r="G1182" s="29"/>
      <c r="H1182" s="30"/>
      <c r="I1182" s="29"/>
      <c r="J1182" s="29"/>
      <c r="K1182" s="29"/>
      <c r="L1182" s="29"/>
      <c r="M1182" s="29"/>
      <c r="N1182" s="29"/>
    </row>
    <row r="1183" spans="5:14" ht="12.5">
      <c r="E1183" s="29"/>
      <c r="F1183" s="30"/>
      <c r="G1183" s="29"/>
      <c r="H1183" s="30"/>
      <c r="I1183" s="29"/>
      <c r="J1183" s="29"/>
      <c r="K1183" s="29"/>
      <c r="L1183" s="29"/>
      <c r="M1183" s="29"/>
      <c r="N1183" s="29"/>
    </row>
    <row r="1184" spans="5:14" ht="12.5">
      <c r="E1184" s="29"/>
      <c r="F1184" s="30"/>
      <c r="G1184" s="29"/>
      <c r="H1184" s="30"/>
      <c r="I1184" s="29"/>
      <c r="J1184" s="29"/>
      <c r="K1184" s="29"/>
      <c r="L1184" s="29"/>
      <c r="M1184" s="29"/>
      <c r="N1184" s="29"/>
    </row>
    <row r="1185" spans="5:14" ht="12.5">
      <c r="E1185" s="29"/>
      <c r="F1185" s="30"/>
      <c r="G1185" s="29"/>
      <c r="H1185" s="30"/>
      <c r="I1185" s="29"/>
      <c r="J1185" s="29"/>
      <c r="K1185" s="29"/>
      <c r="L1185" s="29"/>
      <c r="M1185" s="29"/>
      <c r="N1185" s="29"/>
    </row>
    <row r="1186" spans="5:14" ht="12.5">
      <c r="E1186" s="29"/>
      <c r="F1186" s="30"/>
      <c r="G1186" s="29"/>
      <c r="H1186" s="30"/>
      <c r="I1186" s="29"/>
      <c r="J1186" s="29"/>
      <c r="K1186" s="29"/>
      <c r="L1186" s="29"/>
      <c r="M1186" s="29"/>
      <c r="N1186" s="29"/>
    </row>
    <row r="1187" spans="5:14" ht="12.5">
      <c r="E1187" s="29"/>
      <c r="F1187" s="30"/>
      <c r="G1187" s="29"/>
      <c r="H1187" s="30"/>
      <c r="I1187" s="29"/>
      <c r="J1187" s="29"/>
      <c r="K1187" s="29"/>
      <c r="L1187" s="29"/>
      <c r="M1187" s="29"/>
      <c r="N1187" s="29"/>
    </row>
    <row r="1188" spans="5:14" ht="12.5">
      <c r="E1188" s="29"/>
      <c r="F1188" s="30"/>
      <c r="G1188" s="29"/>
      <c r="H1188" s="30"/>
      <c r="I1188" s="29"/>
      <c r="J1188" s="29"/>
      <c r="K1188" s="29"/>
      <c r="L1188" s="29"/>
      <c r="M1188" s="29"/>
      <c r="N1188" s="29"/>
    </row>
    <row r="1189" spans="5:14" ht="12.5">
      <c r="E1189" s="29"/>
      <c r="F1189" s="30"/>
      <c r="G1189" s="29"/>
      <c r="H1189" s="30"/>
      <c r="I1189" s="29"/>
      <c r="J1189" s="29"/>
      <c r="K1189" s="29"/>
      <c r="L1189" s="29"/>
      <c r="M1189" s="29"/>
      <c r="N1189" s="29"/>
    </row>
    <row r="1190" spans="5:14" ht="12.5">
      <c r="E1190" s="29"/>
      <c r="F1190" s="30"/>
      <c r="G1190" s="29"/>
      <c r="H1190" s="30"/>
      <c r="I1190" s="29"/>
      <c r="J1190" s="29"/>
      <c r="K1190" s="29"/>
      <c r="L1190" s="29"/>
      <c r="M1190" s="29"/>
      <c r="N1190" s="29"/>
    </row>
    <row r="1191" spans="5:14" ht="12.5">
      <c r="E1191" s="29"/>
      <c r="F1191" s="30"/>
      <c r="G1191" s="29"/>
      <c r="H1191" s="30"/>
      <c r="I1191" s="29"/>
      <c r="J1191" s="29"/>
      <c r="K1191" s="29"/>
      <c r="L1191" s="29"/>
      <c r="M1191" s="29"/>
      <c r="N1191" s="29"/>
    </row>
    <row r="1192" spans="5:14" ht="12.5">
      <c r="E1192" s="29"/>
      <c r="F1192" s="30"/>
      <c r="G1192" s="29"/>
      <c r="H1192" s="30"/>
      <c r="I1192" s="29"/>
      <c r="J1192" s="29"/>
      <c r="K1192" s="29"/>
      <c r="L1192" s="29"/>
      <c r="M1192" s="29"/>
      <c r="N1192" s="29"/>
    </row>
    <row r="1193" spans="5:14" ht="12.5">
      <c r="E1193" s="29"/>
      <c r="F1193" s="30"/>
      <c r="G1193" s="29"/>
      <c r="H1193" s="30"/>
      <c r="I1193" s="29"/>
      <c r="J1193" s="29"/>
      <c r="K1193" s="29"/>
      <c r="L1193" s="29"/>
      <c r="M1193" s="29"/>
      <c r="N1193" s="29"/>
    </row>
    <row r="1194" spans="5:14" ht="12.5">
      <c r="E1194" s="29"/>
      <c r="F1194" s="30"/>
      <c r="G1194" s="29"/>
      <c r="H1194" s="30"/>
      <c r="I1194" s="29"/>
      <c r="J1194" s="29"/>
      <c r="K1194" s="29"/>
      <c r="L1194" s="29"/>
      <c r="M1194" s="29"/>
      <c r="N1194" s="29"/>
    </row>
    <row r="1195" spans="5:14" ht="12.5">
      <c r="E1195" s="29"/>
      <c r="F1195" s="30"/>
      <c r="G1195" s="29"/>
      <c r="H1195" s="30"/>
      <c r="I1195" s="29"/>
      <c r="J1195" s="29"/>
      <c r="K1195" s="29"/>
      <c r="L1195" s="29"/>
      <c r="M1195" s="29"/>
      <c r="N1195" s="29"/>
    </row>
    <row r="1196" spans="5:14" ht="12.5">
      <c r="E1196" s="29"/>
      <c r="F1196" s="30"/>
      <c r="G1196" s="29"/>
      <c r="H1196" s="30"/>
      <c r="I1196" s="29"/>
      <c r="J1196" s="29"/>
      <c r="K1196" s="29"/>
      <c r="L1196" s="29"/>
      <c r="M1196" s="29"/>
      <c r="N1196" s="29"/>
    </row>
    <row r="1197" spans="5:14" ht="12.5">
      <c r="E1197" s="29"/>
      <c r="F1197" s="30"/>
      <c r="G1197" s="29"/>
      <c r="H1197" s="30"/>
      <c r="I1197" s="29"/>
      <c r="J1197" s="29"/>
      <c r="K1197" s="29"/>
      <c r="L1197" s="29"/>
      <c r="M1197" s="29"/>
      <c r="N1197" s="29"/>
    </row>
    <row r="1198" spans="5:14" ht="12.5">
      <c r="E1198" s="29"/>
      <c r="F1198" s="30"/>
      <c r="G1198" s="29"/>
      <c r="H1198" s="30"/>
      <c r="I1198" s="29"/>
      <c r="J1198" s="29"/>
      <c r="K1198" s="29"/>
      <c r="L1198" s="29"/>
      <c r="M1198" s="29"/>
      <c r="N1198" s="29"/>
    </row>
    <row r="1199" spans="5:14" ht="12.5">
      <c r="E1199" s="29"/>
      <c r="F1199" s="30"/>
      <c r="G1199" s="29"/>
      <c r="H1199" s="30"/>
      <c r="I1199" s="29"/>
      <c r="J1199" s="29"/>
      <c r="K1199" s="29"/>
      <c r="L1199" s="29"/>
      <c r="M1199" s="29"/>
      <c r="N1199" s="29"/>
    </row>
    <row r="1200" spans="5:14" ht="12.5">
      <c r="E1200" s="29"/>
      <c r="F1200" s="30"/>
      <c r="G1200" s="29"/>
      <c r="H1200" s="30"/>
      <c r="I1200" s="29"/>
      <c r="J1200" s="29"/>
      <c r="K1200" s="29"/>
      <c r="L1200" s="29"/>
      <c r="M1200" s="29"/>
      <c r="N1200" s="29"/>
    </row>
    <row r="1201" spans="5:14" ht="12.5">
      <c r="E1201" s="29"/>
      <c r="F1201" s="30"/>
      <c r="G1201" s="29"/>
      <c r="H1201" s="30"/>
      <c r="I1201" s="29"/>
      <c r="J1201" s="29"/>
      <c r="K1201" s="29"/>
      <c r="L1201" s="29"/>
      <c r="M1201" s="29"/>
      <c r="N1201" s="29"/>
    </row>
    <row r="1202" spans="5:14" ht="12.5">
      <c r="E1202" s="29"/>
      <c r="F1202" s="30"/>
      <c r="G1202" s="29"/>
      <c r="H1202" s="30"/>
      <c r="I1202" s="29"/>
      <c r="J1202" s="29"/>
      <c r="K1202" s="29"/>
      <c r="L1202" s="29"/>
      <c r="M1202" s="29"/>
      <c r="N1202" s="29"/>
    </row>
    <row r="1203" spans="5:14" ht="12.5">
      <c r="E1203" s="29"/>
      <c r="F1203" s="30"/>
      <c r="G1203" s="29"/>
      <c r="H1203" s="30"/>
      <c r="I1203" s="29"/>
      <c r="J1203" s="29"/>
      <c r="K1203" s="29"/>
      <c r="L1203" s="29"/>
      <c r="M1203" s="29"/>
      <c r="N1203" s="29"/>
    </row>
    <row r="1204" spans="5:14" ht="12.5">
      <c r="E1204" s="29"/>
      <c r="F1204" s="30"/>
      <c r="G1204" s="29"/>
      <c r="H1204" s="30"/>
      <c r="I1204" s="29"/>
      <c r="J1204" s="29"/>
      <c r="K1204" s="29"/>
      <c r="L1204" s="29"/>
      <c r="M1204" s="29"/>
      <c r="N1204" s="29"/>
    </row>
    <row r="1205" spans="5:14" ht="12.5">
      <c r="E1205" s="29"/>
      <c r="F1205" s="30"/>
      <c r="G1205" s="29"/>
      <c r="H1205" s="30"/>
      <c r="I1205" s="29"/>
      <c r="J1205" s="29"/>
      <c r="K1205" s="29"/>
      <c r="L1205" s="29"/>
      <c r="M1205" s="29"/>
      <c r="N1205" s="29"/>
    </row>
    <row r="1206" spans="5:14" ht="12.5">
      <c r="E1206" s="29"/>
      <c r="F1206" s="30"/>
      <c r="G1206" s="29"/>
      <c r="H1206" s="30"/>
      <c r="I1206" s="29"/>
      <c r="J1206" s="29"/>
      <c r="K1206" s="29"/>
      <c r="L1206" s="29"/>
      <c r="M1206" s="29"/>
      <c r="N1206" s="29"/>
    </row>
    <row r="1207" spans="5:14" ht="12.5">
      <c r="E1207" s="29"/>
      <c r="F1207" s="30"/>
      <c r="G1207" s="29"/>
      <c r="H1207" s="30"/>
      <c r="I1207" s="29"/>
      <c r="J1207" s="29"/>
      <c r="K1207" s="29"/>
      <c r="L1207" s="29"/>
      <c r="M1207" s="29"/>
      <c r="N1207" s="29"/>
    </row>
    <row r="1208" spans="5:14" ht="12.5">
      <c r="E1208" s="29"/>
      <c r="F1208" s="30"/>
      <c r="G1208" s="29"/>
      <c r="H1208" s="30"/>
      <c r="I1208" s="29"/>
      <c r="J1208" s="29"/>
      <c r="K1208" s="29"/>
      <c r="L1208" s="29"/>
      <c r="M1208" s="29"/>
      <c r="N1208" s="29"/>
    </row>
    <row r="1209" spans="5:14" ht="12.5">
      <c r="E1209" s="29"/>
      <c r="F1209" s="30"/>
      <c r="G1209" s="29"/>
      <c r="H1209" s="30"/>
      <c r="I1209" s="29"/>
      <c r="J1209" s="29"/>
      <c r="K1209" s="29"/>
      <c r="L1209" s="29"/>
      <c r="M1209" s="29"/>
      <c r="N1209" s="29"/>
    </row>
    <row r="1210" spans="5:14" ht="12.5">
      <c r="E1210" s="29"/>
      <c r="F1210" s="30"/>
      <c r="G1210" s="29"/>
      <c r="H1210" s="30"/>
      <c r="I1210" s="29"/>
      <c r="J1210" s="29"/>
      <c r="K1210" s="29"/>
      <c r="L1210" s="29"/>
      <c r="M1210" s="29"/>
      <c r="N1210" s="29"/>
    </row>
    <row r="1211" spans="5:14" ht="12.5">
      <c r="E1211" s="29"/>
      <c r="F1211" s="30"/>
      <c r="G1211" s="29"/>
      <c r="H1211" s="30"/>
      <c r="I1211" s="29"/>
      <c r="J1211" s="29"/>
      <c r="K1211" s="29"/>
      <c r="L1211" s="29"/>
      <c r="M1211" s="29"/>
      <c r="N1211" s="29"/>
    </row>
    <row r="1212" spans="5:14" ht="12.5">
      <c r="E1212" s="29"/>
      <c r="F1212" s="30"/>
      <c r="G1212" s="29"/>
      <c r="H1212" s="30"/>
      <c r="I1212" s="29"/>
      <c r="J1212" s="29"/>
      <c r="K1212" s="29"/>
      <c r="L1212" s="29"/>
      <c r="M1212" s="29"/>
      <c r="N1212" s="29"/>
    </row>
    <row r="1213" spans="5:14" ht="12.5">
      <c r="E1213" s="29"/>
      <c r="F1213" s="30"/>
      <c r="G1213" s="29"/>
      <c r="H1213" s="30"/>
      <c r="I1213" s="29"/>
      <c r="J1213" s="29"/>
      <c r="K1213" s="29"/>
      <c r="L1213" s="29"/>
      <c r="M1213" s="29"/>
      <c r="N1213" s="29"/>
    </row>
    <row r="1214" spans="5:14" ht="12.5">
      <c r="E1214" s="29"/>
      <c r="F1214" s="30"/>
      <c r="G1214" s="29"/>
      <c r="H1214" s="30"/>
      <c r="I1214" s="29"/>
      <c r="J1214" s="29"/>
      <c r="K1214" s="29"/>
      <c r="L1214" s="29"/>
      <c r="M1214" s="29"/>
      <c r="N1214" s="29"/>
    </row>
    <row r="1215" spans="5:14" ht="12.5">
      <c r="E1215" s="29"/>
      <c r="F1215" s="30"/>
      <c r="G1215" s="29"/>
      <c r="H1215" s="30"/>
      <c r="I1215" s="29"/>
      <c r="J1215" s="29"/>
      <c r="K1215" s="29"/>
      <c r="L1215" s="29"/>
      <c r="M1215" s="29"/>
      <c r="N1215" s="29"/>
    </row>
    <row r="1216" spans="5:14" ht="12.5">
      <c r="E1216" s="29"/>
      <c r="F1216" s="30"/>
      <c r="G1216" s="29"/>
      <c r="H1216" s="30"/>
      <c r="I1216" s="29"/>
      <c r="J1216" s="29"/>
      <c r="K1216" s="29"/>
      <c r="L1216" s="29"/>
      <c r="M1216" s="29"/>
      <c r="N1216" s="29"/>
    </row>
    <row r="1217" spans="5:14" ht="12.5">
      <c r="E1217" s="29"/>
      <c r="F1217" s="30"/>
      <c r="G1217" s="29"/>
      <c r="H1217" s="30"/>
      <c r="I1217" s="29"/>
      <c r="J1217" s="29"/>
      <c r="K1217" s="29"/>
      <c r="L1217" s="29"/>
      <c r="M1217" s="29"/>
      <c r="N1217" s="29"/>
    </row>
    <row r="1218" spans="5:14" ht="12.5">
      <c r="E1218" s="29"/>
      <c r="F1218" s="30"/>
      <c r="G1218" s="29"/>
      <c r="H1218" s="30"/>
      <c r="I1218" s="29"/>
      <c r="J1218" s="29"/>
      <c r="K1218" s="29"/>
      <c r="L1218" s="29"/>
      <c r="M1218" s="29"/>
      <c r="N1218" s="29"/>
    </row>
    <row r="1219" spans="5:14" ht="12.5">
      <c r="E1219" s="29"/>
      <c r="F1219" s="30"/>
      <c r="G1219" s="29"/>
      <c r="H1219" s="30"/>
      <c r="I1219" s="29"/>
      <c r="J1219" s="29"/>
      <c r="K1219" s="29"/>
      <c r="L1219" s="29"/>
      <c r="M1219" s="29"/>
      <c r="N1219" s="29"/>
    </row>
    <row r="1220" spans="5:14" ht="12.5">
      <c r="E1220" s="29"/>
      <c r="F1220" s="30"/>
      <c r="G1220" s="29"/>
      <c r="H1220" s="30"/>
      <c r="I1220" s="29"/>
      <c r="J1220" s="29"/>
      <c r="K1220" s="29"/>
      <c r="L1220" s="29"/>
      <c r="M1220" s="29"/>
      <c r="N1220" s="29"/>
    </row>
    <row r="1221" spans="5:14" ht="12.5">
      <c r="E1221" s="29"/>
      <c r="F1221" s="30"/>
      <c r="G1221" s="29"/>
      <c r="H1221" s="30"/>
      <c r="I1221" s="29"/>
      <c r="J1221" s="29"/>
      <c r="K1221" s="29"/>
      <c r="L1221" s="29"/>
      <c r="M1221" s="29"/>
      <c r="N1221" s="29"/>
    </row>
    <row r="1222" spans="5:14" ht="12.5">
      <c r="E1222" s="29"/>
      <c r="F1222" s="30"/>
      <c r="G1222" s="29"/>
      <c r="H1222" s="30"/>
      <c r="I1222" s="29"/>
      <c r="J1222" s="29"/>
      <c r="K1222" s="29"/>
      <c r="L1222" s="29"/>
      <c r="M1222" s="29"/>
      <c r="N1222" s="29"/>
    </row>
    <row r="1223" spans="5:14" ht="12.5">
      <c r="E1223" s="29"/>
      <c r="F1223" s="30"/>
      <c r="G1223" s="29"/>
      <c r="H1223" s="30"/>
      <c r="I1223" s="29"/>
      <c r="J1223" s="29"/>
      <c r="K1223" s="29"/>
      <c r="L1223" s="29"/>
      <c r="M1223" s="29"/>
      <c r="N1223" s="29"/>
    </row>
    <row r="1224" spans="5:14" ht="12.5">
      <c r="E1224" s="29"/>
      <c r="F1224" s="30"/>
      <c r="G1224" s="29"/>
      <c r="H1224" s="30"/>
      <c r="I1224" s="29"/>
      <c r="J1224" s="29"/>
      <c r="K1224" s="29"/>
      <c r="L1224" s="29"/>
      <c r="M1224" s="29"/>
      <c r="N1224" s="29"/>
    </row>
    <row r="1225" spans="5:14" ht="12.5">
      <c r="E1225" s="29"/>
      <c r="F1225" s="30"/>
      <c r="G1225" s="29"/>
      <c r="H1225" s="30"/>
      <c r="I1225" s="29"/>
      <c r="J1225" s="29"/>
      <c r="K1225" s="29"/>
      <c r="L1225" s="29"/>
      <c r="M1225" s="29"/>
      <c r="N1225" s="29"/>
    </row>
    <row r="1226" spans="5:14" ht="12.5">
      <c r="E1226" s="29"/>
      <c r="F1226" s="30"/>
      <c r="G1226" s="29"/>
      <c r="H1226" s="30"/>
      <c r="I1226" s="29"/>
      <c r="J1226" s="29"/>
      <c r="K1226" s="29"/>
      <c r="L1226" s="29"/>
      <c r="M1226" s="29"/>
      <c r="N1226" s="29"/>
    </row>
    <row r="1227" spans="5:14" ht="12.5">
      <c r="E1227" s="29"/>
      <c r="F1227" s="30"/>
      <c r="G1227" s="29"/>
      <c r="H1227" s="30"/>
      <c r="I1227" s="29"/>
      <c r="J1227" s="29"/>
      <c r="K1227" s="29"/>
      <c r="L1227" s="29"/>
      <c r="M1227" s="29"/>
      <c r="N1227" s="29"/>
    </row>
    <row r="1228" spans="5:14" ht="12.5">
      <c r="E1228" s="29"/>
      <c r="F1228" s="30"/>
      <c r="G1228" s="29"/>
      <c r="H1228" s="30"/>
      <c r="I1228" s="29"/>
      <c r="J1228" s="29"/>
      <c r="K1228" s="29"/>
      <c r="L1228" s="29"/>
      <c r="M1228" s="29"/>
      <c r="N1228" s="29"/>
    </row>
    <row r="1229" spans="5:14" ht="12.5">
      <c r="E1229" s="29"/>
      <c r="F1229" s="30"/>
      <c r="G1229" s="29"/>
      <c r="H1229" s="30"/>
      <c r="I1229" s="29"/>
      <c r="J1229" s="29"/>
      <c r="K1229" s="29"/>
      <c r="L1229" s="29"/>
      <c r="M1229" s="29"/>
      <c r="N1229" s="29"/>
    </row>
    <row r="1230" spans="5:14" ht="12.5">
      <c r="E1230" s="29"/>
      <c r="F1230" s="30"/>
      <c r="G1230" s="29"/>
      <c r="H1230" s="30"/>
      <c r="I1230" s="29"/>
      <c r="J1230" s="29"/>
      <c r="K1230" s="29"/>
      <c r="L1230" s="29"/>
      <c r="M1230" s="29"/>
      <c r="N1230" s="29"/>
    </row>
    <row r="1231" spans="5:14" ht="12.5">
      <c r="E1231" s="29"/>
      <c r="F1231" s="30"/>
      <c r="G1231" s="29"/>
      <c r="H1231" s="30"/>
      <c r="I1231" s="29"/>
      <c r="J1231" s="29"/>
      <c r="K1231" s="29"/>
      <c r="L1231" s="29"/>
      <c r="M1231" s="29"/>
      <c r="N1231" s="29"/>
    </row>
    <row r="1232" spans="5:14" ht="12.5">
      <c r="E1232" s="29"/>
      <c r="F1232" s="30"/>
      <c r="G1232" s="29"/>
      <c r="H1232" s="30"/>
      <c r="I1232" s="29"/>
      <c r="J1232" s="29"/>
      <c r="K1232" s="29"/>
      <c r="L1232" s="29"/>
      <c r="M1232" s="29"/>
      <c r="N1232" s="29"/>
    </row>
    <row r="1233" spans="5:14" ht="12.5">
      <c r="E1233" s="29"/>
      <c r="F1233" s="30"/>
      <c r="G1233" s="29"/>
      <c r="H1233" s="30"/>
      <c r="I1233" s="29"/>
      <c r="J1233" s="29"/>
      <c r="K1233" s="29"/>
      <c r="L1233" s="29"/>
      <c r="M1233" s="29"/>
      <c r="N1233" s="29"/>
    </row>
    <row r="1234" spans="5:14" ht="12.5">
      <c r="E1234" s="29"/>
      <c r="F1234" s="30"/>
      <c r="G1234" s="29"/>
      <c r="H1234" s="30"/>
      <c r="I1234" s="29"/>
      <c r="J1234" s="29"/>
      <c r="K1234" s="29"/>
      <c r="L1234" s="29"/>
      <c r="M1234" s="29"/>
      <c r="N1234" s="29"/>
    </row>
    <row r="1235" spans="5:14" ht="12.5">
      <c r="E1235" s="29"/>
      <c r="F1235" s="30"/>
      <c r="G1235" s="29"/>
      <c r="H1235" s="30"/>
      <c r="I1235" s="29"/>
      <c r="J1235" s="29"/>
      <c r="K1235" s="29"/>
      <c r="L1235" s="29"/>
      <c r="M1235" s="29"/>
      <c r="N1235" s="29"/>
    </row>
    <row r="1236" spans="5:14" ht="12.5">
      <c r="E1236" s="29"/>
      <c r="F1236" s="30"/>
      <c r="G1236" s="29"/>
      <c r="H1236" s="30"/>
      <c r="I1236" s="29"/>
      <c r="J1236" s="29"/>
      <c r="K1236" s="29"/>
      <c r="L1236" s="29"/>
      <c r="M1236" s="29"/>
      <c r="N1236" s="29"/>
    </row>
    <row r="1237" spans="5:14" ht="12.5">
      <c r="E1237" s="29"/>
      <c r="F1237" s="30"/>
      <c r="G1237" s="29"/>
      <c r="H1237" s="30"/>
      <c r="I1237" s="29"/>
      <c r="J1237" s="29"/>
      <c r="K1237" s="29"/>
      <c r="L1237" s="29"/>
      <c r="M1237" s="29"/>
      <c r="N1237" s="29"/>
    </row>
    <row r="1238" spans="5:14" ht="12.5">
      <c r="E1238" s="29"/>
      <c r="F1238" s="30"/>
      <c r="G1238" s="29"/>
      <c r="H1238" s="30"/>
      <c r="I1238" s="29"/>
      <c r="J1238" s="29"/>
      <c r="K1238" s="29"/>
      <c r="L1238" s="29"/>
      <c r="M1238" s="29"/>
      <c r="N1238" s="29"/>
    </row>
    <row r="1239" spans="5:14" ht="12.5">
      <c r="E1239" s="29"/>
      <c r="F1239" s="30"/>
      <c r="G1239" s="29"/>
      <c r="H1239" s="30"/>
      <c r="I1239" s="29"/>
      <c r="J1239" s="29"/>
      <c r="K1239" s="29"/>
      <c r="L1239" s="29"/>
      <c r="M1239" s="29"/>
      <c r="N1239" s="29"/>
    </row>
    <row r="1240" spans="5:14" ht="12.5">
      <c r="E1240" s="29"/>
      <c r="F1240" s="30"/>
      <c r="G1240" s="29"/>
      <c r="H1240" s="30"/>
      <c r="I1240" s="29"/>
      <c r="J1240" s="29"/>
      <c r="K1240" s="29"/>
      <c r="L1240" s="29"/>
      <c r="M1240" s="29"/>
      <c r="N1240" s="29"/>
    </row>
    <row r="1241" spans="5:14" ht="12.5">
      <c r="E1241" s="29"/>
      <c r="F1241" s="30"/>
      <c r="G1241" s="29"/>
      <c r="H1241" s="30"/>
      <c r="I1241" s="29"/>
      <c r="J1241" s="29"/>
      <c r="K1241" s="29"/>
      <c r="L1241" s="29"/>
      <c r="M1241" s="29"/>
      <c r="N1241" s="29"/>
    </row>
    <row r="1242" spans="5:14" ht="12.5">
      <c r="E1242" s="29"/>
      <c r="F1242" s="30"/>
      <c r="G1242" s="29"/>
      <c r="H1242" s="30"/>
      <c r="I1242" s="29"/>
      <c r="J1242" s="29"/>
      <c r="K1242" s="29"/>
      <c r="L1242" s="29"/>
      <c r="M1242" s="29"/>
      <c r="N1242" s="29"/>
    </row>
    <row r="1243" spans="5:14" ht="12.5">
      <c r="E1243" s="29"/>
      <c r="F1243" s="30"/>
      <c r="G1243" s="29"/>
      <c r="H1243" s="30"/>
      <c r="I1243" s="29"/>
      <c r="J1243" s="29"/>
      <c r="K1243" s="29"/>
      <c r="L1243" s="29"/>
      <c r="M1243" s="29"/>
      <c r="N1243" s="29"/>
    </row>
    <row r="1244" spans="5:14" ht="12.5">
      <c r="E1244" s="29"/>
      <c r="F1244" s="30"/>
      <c r="G1244" s="29"/>
      <c r="H1244" s="30"/>
      <c r="I1244" s="29"/>
      <c r="J1244" s="29"/>
      <c r="K1244" s="29"/>
      <c r="L1244" s="29"/>
      <c r="M1244" s="29"/>
      <c r="N1244" s="29"/>
    </row>
    <row r="1245" spans="5:14" ht="12.5">
      <c r="E1245" s="29"/>
      <c r="F1245" s="30"/>
      <c r="G1245" s="29"/>
      <c r="H1245" s="30"/>
      <c r="I1245" s="29"/>
      <c r="J1245" s="29"/>
      <c r="K1245" s="29"/>
      <c r="L1245" s="29"/>
      <c r="M1245" s="29"/>
      <c r="N1245" s="29"/>
    </row>
    <row r="1246" spans="5:14" ht="12.5">
      <c r="E1246" s="29"/>
      <c r="F1246" s="30"/>
      <c r="G1246" s="29"/>
      <c r="H1246" s="30"/>
      <c r="I1246" s="29"/>
      <c r="J1246" s="29"/>
      <c r="K1246" s="29"/>
      <c r="L1246" s="29"/>
      <c r="M1246" s="29"/>
      <c r="N1246" s="29"/>
    </row>
    <row r="1247" spans="5:14" ht="12.5">
      <c r="E1247" s="29"/>
      <c r="F1247" s="30"/>
      <c r="G1247" s="29"/>
      <c r="H1247" s="30"/>
      <c r="I1247" s="29"/>
      <c r="J1247" s="29"/>
      <c r="K1247" s="29"/>
      <c r="L1247" s="29"/>
      <c r="M1247" s="29"/>
      <c r="N1247" s="29"/>
    </row>
    <row r="1248" spans="5:14" ht="12.5">
      <c r="E1248" s="29"/>
      <c r="F1248" s="30"/>
      <c r="G1248" s="29"/>
      <c r="H1248" s="30"/>
      <c r="I1248" s="29"/>
      <c r="J1248" s="29"/>
      <c r="K1248" s="29"/>
      <c r="L1248" s="29"/>
      <c r="M1248" s="29"/>
      <c r="N1248" s="29"/>
    </row>
    <row r="1249" spans="5:14" ht="12.5">
      <c r="E1249" s="29"/>
      <c r="F1249" s="30"/>
      <c r="G1249" s="29"/>
      <c r="H1249" s="30"/>
      <c r="I1249" s="29"/>
      <c r="J1249" s="29"/>
      <c r="K1249" s="29"/>
      <c r="L1249" s="29"/>
      <c r="M1249" s="29"/>
      <c r="N1249" s="29"/>
    </row>
    <row r="1250" spans="5:14" ht="12.5">
      <c r="E1250" s="29"/>
      <c r="F1250" s="30"/>
      <c r="G1250" s="29"/>
      <c r="H1250" s="30"/>
      <c r="I1250" s="29"/>
      <c r="J1250" s="29"/>
      <c r="K1250" s="29"/>
      <c r="L1250" s="29"/>
      <c r="M1250" s="29"/>
      <c r="N1250" s="29"/>
    </row>
    <row r="1251" spans="5:14" ht="12.5">
      <c r="E1251" s="29"/>
      <c r="F1251" s="30"/>
      <c r="G1251" s="29"/>
      <c r="H1251" s="30"/>
      <c r="I1251" s="29"/>
      <c r="J1251" s="29"/>
      <c r="K1251" s="29"/>
      <c r="L1251" s="29"/>
      <c r="M1251" s="29"/>
      <c r="N1251" s="29"/>
    </row>
    <row r="1252" spans="5:14" ht="12.5">
      <c r="E1252" s="29"/>
      <c r="F1252" s="30"/>
      <c r="G1252" s="29"/>
      <c r="H1252" s="30"/>
      <c r="I1252" s="29"/>
      <c r="J1252" s="29"/>
      <c r="K1252" s="29"/>
      <c r="L1252" s="29"/>
      <c r="M1252" s="29"/>
      <c r="N1252" s="29"/>
    </row>
    <row r="1253" spans="5:14" ht="12.5">
      <c r="E1253" s="29"/>
      <c r="F1253" s="30"/>
      <c r="G1253" s="29"/>
      <c r="H1253" s="30"/>
      <c r="I1253" s="29"/>
      <c r="J1253" s="29"/>
      <c r="K1253" s="29"/>
      <c r="L1253" s="29"/>
      <c r="M1253" s="29"/>
      <c r="N1253" s="29"/>
    </row>
    <row r="1254" spans="5:14" ht="12.5">
      <c r="E1254" s="29"/>
      <c r="F1254" s="30"/>
      <c r="G1254" s="29"/>
      <c r="H1254" s="30"/>
      <c r="I1254" s="29"/>
      <c r="J1254" s="29"/>
      <c r="K1254" s="29"/>
      <c r="L1254" s="29"/>
      <c r="M1254" s="29"/>
      <c r="N1254" s="29"/>
    </row>
    <row r="1255" spans="5:14" ht="12.5">
      <c r="E1255" s="29"/>
      <c r="F1255" s="30"/>
      <c r="G1255" s="29"/>
      <c r="H1255" s="30"/>
      <c r="I1255" s="29"/>
      <c r="J1255" s="29"/>
      <c r="K1255" s="29"/>
      <c r="L1255" s="29"/>
      <c r="M1255" s="29"/>
      <c r="N1255" s="29"/>
    </row>
    <row r="1256" spans="5:14" ht="12.5">
      <c r="E1256" s="29"/>
      <c r="F1256" s="30"/>
      <c r="G1256" s="29"/>
      <c r="H1256" s="30"/>
      <c r="I1256" s="29"/>
      <c r="J1256" s="29"/>
      <c r="K1256" s="29"/>
      <c r="L1256" s="29"/>
      <c r="M1256" s="29"/>
      <c r="N1256" s="29"/>
    </row>
    <row r="1257" spans="5:14" ht="12.5">
      <c r="E1257" s="29"/>
      <c r="F1257" s="30"/>
      <c r="G1257" s="29"/>
      <c r="H1257" s="30"/>
      <c r="I1257" s="29"/>
      <c r="J1257" s="29"/>
      <c r="K1257" s="29"/>
      <c r="L1257" s="29"/>
      <c r="M1257" s="29"/>
      <c r="N1257" s="29"/>
    </row>
    <row r="1258" spans="5:14" ht="12.5">
      <c r="E1258" s="29"/>
      <c r="F1258" s="30"/>
      <c r="G1258" s="29"/>
      <c r="H1258" s="30"/>
      <c r="I1258" s="29"/>
      <c r="J1258" s="29"/>
      <c r="K1258" s="29"/>
      <c r="L1258" s="29"/>
      <c r="M1258" s="29"/>
      <c r="N1258" s="29"/>
    </row>
    <row r="1259" spans="5:14" ht="12.5">
      <c r="E1259" s="29"/>
      <c r="F1259" s="30"/>
      <c r="G1259" s="29"/>
      <c r="H1259" s="30"/>
      <c r="I1259" s="29"/>
      <c r="J1259" s="29"/>
      <c r="K1259" s="29"/>
      <c r="L1259" s="29"/>
      <c r="M1259" s="29"/>
      <c r="N1259" s="29"/>
    </row>
    <row r="1260" spans="5:14" ht="12.5">
      <c r="E1260" s="29"/>
      <c r="F1260" s="30"/>
      <c r="G1260" s="29"/>
      <c r="H1260" s="30"/>
      <c r="I1260" s="29"/>
      <c r="J1260" s="29"/>
      <c r="K1260" s="29"/>
      <c r="L1260" s="29"/>
      <c r="M1260" s="29"/>
      <c r="N1260" s="29"/>
    </row>
    <row r="1261" spans="5:14" ht="12.5">
      <c r="E1261" s="29"/>
      <c r="F1261" s="30"/>
      <c r="G1261" s="29"/>
      <c r="H1261" s="30"/>
      <c r="I1261" s="29"/>
      <c r="J1261" s="29"/>
      <c r="K1261" s="29"/>
      <c r="L1261" s="29"/>
      <c r="M1261" s="29"/>
      <c r="N1261" s="29"/>
    </row>
    <row r="1262" spans="5:14" ht="12.5">
      <c r="E1262" s="29"/>
      <c r="F1262" s="30"/>
      <c r="G1262" s="29"/>
      <c r="H1262" s="30"/>
      <c r="I1262" s="29"/>
      <c r="J1262" s="29"/>
      <c r="K1262" s="29"/>
      <c r="L1262" s="29"/>
      <c r="M1262" s="29"/>
      <c r="N1262" s="29"/>
    </row>
    <row r="1263" spans="5:14" ht="12.5">
      <c r="E1263" s="29"/>
      <c r="F1263" s="30"/>
      <c r="G1263" s="29"/>
      <c r="H1263" s="30"/>
      <c r="I1263" s="29"/>
      <c r="J1263" s="29"/>
      <c r="K1263" s="29"/>
      <c r="L1263" s="29"/>
      <c r="M1263" s="29"/>
      <c r="N1263" s="29"/>
    </row>
    <row r="1264" spans="5:14" ht="12.5">
      <c r="E1264" s="29"/>
      <c r="F1264" s="30"/>
      <c r="G1264" s="29"/>
      <c r="H1264" s="30"/>
      <c r="I1264" s="29"/>
      <c r="J1264" s="29"/>
      <c r="K1264" s="29"/>
      <c r="L1264" s="29"/>
      <c r="M1264" s="29"/>
      <c r="N1264" s="29"/>
    </row>
    <row r="1265" spans="5:14" ht="12.5">
      <c r="E1265" s="29"/>
      <c r="F1265" s="30"/>
      <c r="G1265" s="29"/>
      <c r="H1265" s="30"/>
      <c r="I1265" s="29"/>
      <c r="J1265" s="29"/>
      <c r="K1265" s="29"/>
      <c r="L1265" s="29"/>
      <c r="M1265" s="29"/>
      <c r="N1265" s="29"/>
    </row>
    <row r="1266" spans="5:14" ht="12.5">
      <c r="E1266" s="29"/>
      <c r="F1266" s="30"/>
      <c r="G1266" s="29"/>
      <c r="H1266" s="30"/>
      <c r="I1266" s="29"/>
      <c r="J1266" s="29"/>
      <c r="K1266" s="29"/>
      <c r="L1266" s="29"/>
      <c r="M1266" s="29"/>
      <c r="N1266" s="29"/>
    </row>
    <row r="1267" spans="5:14" ht="12.5">
      <c r="E1267" s="29"/>
      <c r="F1267" s="30"/>
      <c r="G1267" s="29"/>
      <c r="H1267" s="30"/>
      <c r="I1267" s="29"/>
      <c r="J1267" s="29"/>
      <c r="K1267" s="29"/>
      <c r="L1267" s="29"/>
      <c r="M1267" s="29"/>
      <c r="N1267" s="29"/>
    </row>
    <row r="1268" spans="5:14" ht="12.5">
      <c r="E1268" s="29"/>
      <c r="F1268" s="30"/>
      <c r="G1268" s="29"/>
      <c r="H1268" s="30"/>
      <c r="I1268" s="29"/>
      <c r="J1268" s="29"/>
      <c r="K1268" s="29"/>
      <c r="L1268" s="29"/>
      <c r="M1268" s="29"/>
      <c r="N1268" s="29"/>
    </row>
    <row r="1269" spans="5:14" ht="12.5">
      <c r="E1269" s="29"/>
      <c r="F1269" s="30"/>
      <c r="G1269" s="29"/>
      <c r="H1269" s="30"/>
      <c r="I1269" s="29"/>
      <c r="J1269" s="29"/>
      <c r="K1269" s="29"/>
      <c r="L1269" s="29"/>
      <c r="M1269" s="29"/>
      <c r="N1269" s="29"/>
    </row>
    <row r="1270" spans="5:14" ht="12.5">
      <c r="E1270" s="29"/>
      <c r="F1270" s="30"/>
      <c r="G1270" s="29"/>
      <c r="H1270" s="30"/>
      <c r="I1270" s="29"/>
      <c r="J1270" s="29"/>
      <c r="K1270" s="29"/>
      <c r="L1270" s="29"/>
      <c r="M1270" s="29"/>
      <c r="N1270" s="29"/>
    </row>
    <row r="1271" spans="5:14" ht="12.5">
      <c r="E1271" s="29"/>
      <c r="F1271" s="30"/>
      <c r="G1271" s="29"/>
      <c r="H1271" s="30"/>
      <c r="I1271" s="29"/>
      <c r="J1271" s="29"/>
      <c r="K1271" s="29"/>
      <c r="L1271" s="29"/>
      <c r="M1271" s="29"/>
      <c r="N1271" s="29"/>
    </row>
    <row r="1272" spans="5:14" ht="12.5">
      <c r="E1272" s="29"/>
      <c r="F1272" s="30"/>
      <c r="G1272" s="29"/>
      <c r="H1272" s="30"/>
      <c r="I1272" s="29"/>
      <c r="J1272" s="29"/>
      <c r="K1272" s="29"/>
      <c r="L1272" s="29"/>
      <c r="M1272" s="29"/>
      <c r="N1272" s="29"/>
    </row>
    <row r="1273" spans="5:14" ht="12.5">
      <c r="E1273" s="29"/>
      <c r="F1273" s="30"/>
      <c r="G1273" s="29"/>
      <c r="H1273" s="30"/>
      <c r="I1273" s="29"/>
      <c r="J1273" s="29"/>
      <c r="K1273" s="29"/>
      <c r="L1273" s="29"/>
      <c r="M1273" s="29"/>
      <c r="N1273" s="29"/>
    </row>
    <row r="1274" spans="5:14" ht="12.5">
      <c r="E1274" s="29"/>
      <c r="F1274" s="30"/>
      <c r="G1274" s="29"/>
      <c r="H1274" s="30"/>
      <c r="I1274" s="29"/>
      <c r="J1274" s="29"/>
      <c r="K1274" s="29"/>
      <c r="L1274" s="29"/>
      <c r="M1274" s="29"/>
      <c r="N1274" s="29"/>
    </row>
    <row r="1275" spans="5:14" ht="12.5">
      <c r="E1275" s="29"/>
      <c r="F1275" s="30"/>
      <c r="G1275" s="29"/>
      <c r="H1275" s="30"/>
      <c r="I1275" s="29"/>
      <c r="J1275" s="29"/>
      <c r="K1275" s="29"/>
      <c r="L1275" s="29"/>
      <c r="M1275" s="29"/>
      <c r="N1275" s="29"/>
    </row>
    <row r="1276" spans="5:14" ht="12.5">
      <c r="E1276" s="29"/>
      <c r="F1276" s="30"/>
      <c r="G1276" s="29"/>
      <c r="H1276" s="30"/>
      <c r="I1276" s="29"/>
      <c r="J1276" s="29"/>
      <c r="K1276" s="29"/>
      <c r="L1276" s="29"/>
      <c r="M1276" s="29"/>
      <c r="N1276" s="29"/>
    </row>
    <row r="1277" spans="5:14" ht="12.5">
      <c r="E1277" s="29"/>
      <c r="F1277" s="30"/>
      <c r="G1277" s="29"/>
      <c r="H1277" s="30"/>
      <c r="I1277" s="29"/>
      <c r="J1277" s="29"/>
      <c r="K1277" s="29"/>
      <c r="L1277" s="29"/>
      <c r="M1277" s="29"/>
      <c r="N1277" s="29"/>
    </row>
    <row r="1278" spans="5:14" ht="12.5">
      <c r="E1278" s="29"/>
      <c r="F1278" s="30"/>
      <c r="G1278" s="29"/>
      <c r="H1278" s="30"/>
      <c r="I1278" s="29"/>
      <c r="J1278" s="29"/>
      <c r="K1278" s="29"/>
      <c r="L1278" s="29"/>
      <c r="M1278" s="29"/>
      <c r="N1278" s="29"/>
    </row>
    <row r="1279" spans="5:14" ht="12.5">
      <c r="E1279" s="29"/>
      <c r="F1279" s="30"/>
      <c r="G1279" s="29"/>
      <c r="H1279" s="30"/>
      <c r="I1279" s="29"/>
      <c r="J1279" s="29"/>
      <c r="K1279" s="29"/>
      <c r="L1279" s="29"/>
      <c r="M1279" s="29"/>
      <c r="N1279" s="29"/>
    </row>
    <row r="1280" spans="5:14" ht="12.5">
      <c r="E1280" s="29"/>
      <c r="F1280" s="30"/>
      <c r="G1280" s="29"/>
      <c r="H1280" s="30"/>
      <c r="I1280" s="29"/>
      <c r="J1280" s="29"/>
      <c r="K1280" s="29"/>
      <c r="L1280" s="29"/>
      <c r="M1280" s="29"/>
      <c r="N1280" s="29"/>
    </row>
    <row r="1281" spans="5:14" ht="12.5">
      <c r="E1281" s="29"/>
      <c r="F1281" s="30"/>
      <c r="G1281" s="29"/>
      <c r="H1281" s="30"/>
      <c r="I1281" s="29"/>
      <c r="J1281" s="29"/>
      <c r="K1281" s="29"/>
      <c r="L1281" s="29"/>
      <c r="M1281" s="29"/>
      <c r="N1281" s="29"/>
    </row>
    <row r="1282" spans="5:14" ht="12.5">
      <c r="E1282" s="29"/>
      <c r="F1282" s="30"/>
      <c r="G1282" s="29"/>
      <c r="H1282" s="30"/>
      <c r="I1282" s="29"/>
      <c r="J1282" s="29"/>
      <c r="K1282" s="29"/>
      <c r="L1282" s="29"/>
      <c r="M1282" s="29"/>
      <c r="N1282" s="29"/>
    </row>
    <row r="1283" spans="5:14" ht="12.5">
      <c r="E1283" s="29"/>
      <c r="F1283" s="30"/>
      <c r="G1283" s="29"/>
      <c r="H1283" s="30"/>
      <c r="I1283" s="29"/>
      <c r="J1283" s="29"/>
      <c r="K1283" s="29"/>
      <c r="L1283" s="29"/>
      <c r="M1283" s="29"/>
      <c r="N1283" s="29"/>
    </row>
    <row r="1284" spans="5:14" ht="12.5">
      <c r="E1284" s="29"/>
      <c r="F1284" s="30"/>
      <c r="G1284" s="29"/>
      <c r="H1284" s="30"/>
      <c r="I1284" s="29"/>
      <c r="J1284" s="29"/>
      <c r="K1284" s="29"/>
      <c r="L1284" s="29"/>
      <c r="M1284" s="29"/>
      <c r="N1284" s="29"/>
    </row>
    <row r="1285" spans="5:14" ht="12.5">
      <c r="E1285" s="29"/>
      <c r="F1285" s="30"/>
      <c r="G1285" s="29"/>
      <c r="H1285" s="30"/>
      <c r="I1285" s="29"/>
      <c r="J1285" s="29"/>
      <c r="K1285" s="29"/>
      <c r="L1285" s="29"/>
      <c r="M1285" s="29"/>
      <c r="N1285" s="29"/>
    </row>
    <row r="1286" spans="5:14" ht="12.5">
      <c r="E1286" s="29"/>
      <c r="F1286" s="30"/>
      <c r="G1286" s="29"/>
      <c r="H1286" s="30"/>
      <c r="I1286" s="29"/>
      <c r="J1286" s="29"/>
      <c r="K1286" s="29"/>
      <c r="L1286" s="29"/>
      <c r="M1286" s="29"/>
      <c r="N1286" s="29"/>
    </row>
    <row r="1287" spans="5:14" ht="12.5">
      <c r="E1287" s="29"/>
      <c r="F1287" s="30"/>
      <c r="G1287" s="29"/>
      <c r="H1287" s="30"/>
      <c r="I1287" s="29"/>
      <c r="J1287" s="29"/>
      <c r="K1287" s="29"/>
      <c r="L1287" s="29"/>
      <c r="M1287" s="29"/>
      <c r="N1287" s="29"/>
    </row>
    <row r="1288" spans="5:14" ht="12.5">
      <c r="E1288" s="29"/>
      <c r="F1288" s="30"/>
      <c r="G1288" s="29"/>
      <c r="H1288" s="30"/>
      <c r="I1288" s="29"/>
      <c r="J1288" s="29"/>
      <c r="K1288" s="29"/>
      <c r="L1288" s="29"/>
      <c r="M1288" s="29"/>
      <c r="N1288" s="29"/>
    </row>
    <row r="1289" spans="5:14" ht="12.5">
      <c r="E1289" s="29"/>
      <c r="F1289" s="30"/>
      <c r="G1289" s="29"/>
      <c r="H1289" s="30"/>
      <c r="I1289" s="29"/>
      <c r="J1289" s="29"/>
      <c r="K1289" s="29"/>
      <c r="L1289" s="29"/>
      <c r="M1289" s="29"/>
      <c r="N1289" s="29"/>
    </row>
    <row r="1290" spans="5:14" ht="12.5">
      <c r="E1290" s="29"/>
      <c r="F1290" s="30"/>
      <c r="G1290" s="29"/>
      <c r="H1290" s="30"/>
      <c r="I1290" s="29"/>
      <c r="J1290" s="29"/>
      <c r="K1290" s="29"/>
      <c r="L1290" s="29"/>
      <c r="M1290" s="29"/>
      <c r="N1290" s="29"/>
    </row>
    <row r="1291" spans="5:14" ht="12.5">
      <c r="E1291" s="29"/>
      <c r="F1291" s="30"/>
      <c r="G1291" s="29"/>
      <c r="H1291" s="30"/>
      <c r="I1291" s="29"/>
      <c r="J1291" s="29"/>
      <c r="K1291" s="29"/>
      <c r="L1291" s="29"/>
      <c r="M1291" s="29"/>
      <c r="N1291" s="29"/>
    </row>
    <row r="1292" spans="5:14" ht="12.5">
      <c r="E1292" s="29"/>
      <c r="F1292" s="30"/>
      <c r="G1292" s="29"/>
      <c r="H1292" s="30"/>
      <c r="I1292" s="29"/>
      <c r="J1292" s="29"/>
      <c r="K1292" s="29"/>
      <c r="L1292" s="29"/>
      <c r="M1292" s="29"/>
      <c r="N1292" s="29"/>
    </row>
    <row r="1293" spans="5:14" ht="12.5">
      <c r="E1293" s="29"/>
      <c r="F1293" s="30"/>
      <c r="G1293" s="29"/>
      <c r="H1293" s="30"/>
      <c r="I1293" s="29"/>
      <c r="J1293" s="29"/>
      <c r="K1293" s="29"/>
      <c r="L1293" s="29"/>
      <c r="M1293" s="29"/>
      <c r="N1293" s="29"/>
    </row>
    <row r="1294" spans="5:14" ht="12.5">
      <c r="E1294" s="29"/>
      <c r="F1294" s="30"/>
      <c r="G1294" s="29"/>
      <c r="H1294" s="30"/>
      <c r="I1294" s="29"/>
      <c r="J1294" s="29"/>
      <c r="K1294" s="29"/>
      <c r="L1294" s="29"/>
      <c r="M1294" s="29"/>
      <c r="N1294" s="29"/>
    </row>
    <row r="1295" spans="5:14" ht="12.5">
      <c r="E1295" s="29"/>
      <c r="F1295" s="30"/>
      <c r="G1295" s="29"/>
      <c r="H1295" s="30"/>
      <c r="I1295" s="29"/>
      <c r="J1295" s="29"/>
      <c r="K1295" s="29"/>
      <c r="L1295" s="29"/>
      <c r="M1295" s="29"/>
      <c r="N1295" s="29"/>
    </row>
    <row r="1296" spans="5:14" ht="12.5">
      <c r="E1296" s="29"/>
      <c r="F1296" s="30"/>
      <c r="G1296" s="29"/>
      <c r="H1296" s="30"/>
      <c r="I1296" s="29"/>
      <c r="J1296" s="29"/>
      <c r="K1296" s="29"/>
      <c r="L1296" s="29"/>
      <c r="M1296" s="29"/>
      <c r="N1296" s="29"/>
    </row>
    <row r="1297" spans="5:14" ht="12.5">
      <c r="E1297" s="29"/>
      <c r="F1297" s="30"/>
      <c r="G1297" s="29"/>
      <c r="H1297" s="30"/>
      <c r="I1297" s="29"/>
      <c r="J1297" s="29"/>
      <c r="K1297" s="29"/>
      <c r="L1297" s="29"/>
      <c r="M1297" s="29"/>
      <c r="N1297" s="29"/>
    </row>
    <row r="1298" spans="5:14" ht="12.5">
      <c r="E1298" s="29"/>
      <c r="F1298" s="30"/>
      <c r="G1298" s="29"/>
      <c r="H1298" s="30"/>
      <c r="I1298" s="29"/>
      <c r="J1298" s="29"/>
      <c r="K1298" s="29"/>
      <c r="L1298" s="29"/>
      <c r="M1298" s="29"/>
      <c r="N1298" s="29"/>
    </row>
    <row r="1299" spans="5:14" ht="12.5">
      <c r="E1299" s="29"/>
      <c r="F1299" s="30"/>
      <c r="G1299" s="29"/>
      <c r="H1299" s="30"/>
      <c r="I1299" s="29"/>
      <c r="J1299" s="29"/>
      <c r="K1299" s="29"/>
      <c r="L1299" s="29"/>
      <c r="M1299" s="29"/>
      <c r="N1299" s="29"/>
    </row>
    <row r="1300" spans="5:14" ht="12.5">
      <c r="E1300" s="29"/>
      <c r="F1300" s="30"/>
      <c r="G1300" s="29"/>
      <c r="H1300" s="30"/>
      <c r="I1300" s="29"/>
      <c r="J1300" s="29"/>
      <c r="K1300" s="29"/>
      <c r="L1300" s="29"/>
      <c r="M1300" s="29"/>
      <c r="N1300" s="29"/>
    </row>
    <row r="1301" spans="5:14" ht="12.5">
      <c r="E1301" s="29"/>
      <c r="F1301" s="30"/>
      <c r="G1301" s="29"/>
      <c r="H1301" s="30"/>
      <c r="I1301" s="29"/>
      <c r="J1301" s="29"/>
      <c r="K1301" s="29"/>
      <c r="L1301" s="29"/>
      <c r="M1301" s="29"/>
      <c r="N1301" s="29"/>
    </row>
    <row r="1302" spans="5:14" ht="12.5">
      <c r="E1302" s="29"/>
      <c r="F1302" s="30"/>
      <c r="G1302" s="29"/>
      <c r="H1302" s="30"/>
      <c r="I1302" s="29"/>
      <c r="J1302" s="29"/>
      <c r="K1302" s="29"/>
      <c r="L1302" s="29"/>
      <c r="M1302" s="29"/>
      <c r="N1302" s="29"/>
    </row>
    <row r="1303" spans="5:14" ht="12.5">
      <c r="E1303" s="29"/>
      <c r="F1303" s="30"/>
      <c r="G1303" s="29"/>
      <c r="H1303" s="30"/>
      <c r="I1303" s="29"/>
      <c r="J1303" s="29"/>
      <c r="K1303" s="29"/>
      <c r="L1303" s="29"/>
      <c r="M1303" s="29"/>
      <c r="N1303" s="29"/>
    </row>
    <row r="1304" spans="5:14" ht="12.5">
      <c r="E1304" s="29"/>
      <c r="F1304" s="30"/>
      <c r="G1304" s="29"/>
      <c r="H1304" s="30"/>
      <c r="I1304" s="29"/>
      <c r="J1304" s="29"/>
      <c r="K1304" s="29"/>
      <c r="L1304" s="29"/>
      <c r="M1304" s="29"/>
      <c r="N1304" s="29"/>
    </row>
    <row r="1305" spans="5:14" ht="12.5">
      <c r="E1305" s="29"/>
      <c r="F1305" s="30"/>
      <c r="G1305" s="29"/>
      <c r="H1305" s="30"/>
      <c r="I1305" s="29"/>
      <c r="J1305" s="29"/>
      <c r="K1305" s="29"/>
      <c r="L1305" s="29"/>
      <c r="M1305" s="29"/>
      <c r="N1305" s="29"/>
    </row>
    <row r="1306" spans="5:14" ht="12.5">
      <c r="E1306" s="29"/>
      <c r="F1306" s="30"/>
      <c r="G1306" s="29"/>
      <c r="H1306" s="30"/>
      <c r="I1306" s="29"/>
      <c r="J1306" s="29"/>
      <c r="K1306" s="29"/>
      <c r="L1306" s="29"/>
      <c r="M1306" s="29"/>
      <c r="N1306" s="29"/>
    </row>
    <row r="1307" spans="5:14" ht="12.5">
      <c r="E1307" s="29"/>
      <c r="F1307" s="30"/>
      <c r="G1307" s="29"/>
      <c r="H1307" s="30"/>
      <c r="I1307" s="29"/>
      <c r="J1307" s="29"/>
      <c r="K1307" s="29"/>
      <c r="L1307" s="29"/>
      <c r="M1307" s="29"/>
      <c r="N1307" s="29"/>
    </row>
    <row r="1308" spans="5:14" ht="12.5">
      <c r="E1308" s="29"/>
      <c r="F1308" s="30"/>
      <c r="G1308" s="29"/>
      <c r="H1308" s="30"/>
      <c r="I1308" s="29"/>
      <c r="J1308" s="29"/>
      <c r="K1308" s="29"/>
      <c r="L1308" s="29"/>
      <c r="M1308" s="29"/>
      <c r="N1308" s="29"/>
    </row>
    <row r="1309" spans="5:14" ht="12.5">
      <c r="E1309" s="29"/>
      <c r="F1309" s="30"/>
      <c r="G1309" s="29"/>
      <c r="H1309" s="30"/>
      <c r="I1309" s="29"/>
      <c r="J1309" s="29"/>
      <c r="K1309" s="29"/>
      <c r="L1309" s="29"/>
      <c r="M1309" s="29"/>
      <c r="N1309" s="29"/>
    </row>
    <row r="1310" spans="5:14" ht="12.5">
      <c r="E1310" s="29"/>
      <c r="F1310" s="30"/>
      <c r="G1310" s="29"/>
      <c r="H1310" s="30"/>
      <c r="I1310" s="29"/>
      <c r="J1310" s="29"/>
      <c r="K1310" s="29"/>
      <c r="L1310" s="29"/>
      <c r="M1310" s="29"/>
      <c r="N1310" s="29"/>
    </row>
    <row r="1311" spans="5:14" ht="12.5">
      <c r="E1311" s="29"/>
      <c r="F1311" s="30"/>
      <c r="G1311" s="29"/>
      <c r="H1311" s="30"/>
      <c r="I1311" s="29"/>
      <c r="J1311" s="29"/>
      <c r="K1311" s="29"/>
      <c r="L1311" s="29"/>
      <c r="M1311" s="29"/>
      <c r="N1311" s="29"/>
    </row>
    <row r="1312" spans="5:14" ht="12.5">
      <c r="E1312" s="29"/>
      <c r="F1312" s="30"/>
      <c r="G1312" s="29"/>
      <c r="H1312" s="30"/>
      <c r="I1312" s="29"/>
      <c r="J1312" s="29"/>
      <c r="K1312" s="29"/>
      <c r="L1312" s="29"/>
      <c r="M1312" s="29"/>
      <c r="N1312" s="29"/>
    </row>
    <row r="1313" spans="5:14" ht="12.5">
      <c r="E1313" s="29"/>
      <c r="F1313" s="30"/>
      <c r="G1313" s="29"/>
      <c r="H1313" s="30"/>
      <c r="I1313" s="29"/>
      <c r="J1313" s="29"/>
      <c r="K1313" s="29"/>
      <c r="L1313" s="29"/>
      <c r="M1313" s="29"/>
      <c r="N1313" s="29"/>
    </row>
    <row r="1314" spans="5:14" ht="12.5">
      <c r="E1314" s="29"/>
      <c r="F1314" s="30"/>
      <c r="G1314" s="29"/>
      <c r="H1314" s="30"/>
      <c r="I1314" s="29"/>
      <c r="J1314" s="29"/>
      <c r="K1314" s="29"/>
      <c r="L1314" s="29"/>
      <c r="M1314" s="29"/>
      <c r="N1314" s="29"/>
    </row>
    <row r="1315" spans="5:14" ht="12.5">
      <c r="E1315" s="29"/>
      <c r="F1315" s="30"/>
      <c r="G1315" s="29"/>
      <c r="H1315" s="30"/>
      <c r="I1315" s="29"/>
      <c r="J1315" s="29"/>
      <c r="K1315" s="29"/>
      <c r="L1315" s="29"/>
      <c r="M1315" s="29"/>
      <c r="N1315" s="29"/>
    </row>
    <row r="1316" spans="5:14" ht="12.5">
      <c r="E1316" s="29"/>
      <c r="F1316" s="30"/>
      <c r="G1316" s="29"/>
      <c r="H1316" s="30"/>
      <c r="I1316" s="29"/>
      <c r="J1316" s="29"/>
      <c r="K1316" s="29"/>
      <c r="L1316" s="29"/>
      <c r="M1316" s="29"/>
      <c r="N1316" s="29"/>
    </row>
    <row r="1317" spans="5:14" ht="12.5">
      <c r="E1317" s="29"/>
      <c r="F1317" s="30"/>
      <c r="G1317" s="29"/>
      <c r="H1317" s="30"/>
      <c r="I1317" s="29"/>
      <c r="J1317" s="29"/>
      <c r="K1317" s="29"/>
      <c r="L1317" s="29"/>
      <c r="M1317" s="29"/>
      <c r="N1317" s="29"/>
    </row>
    <row r="1318" spans="5:14" ht="12.5">
      <c r="E1318" s="29"/>
      <c r="F1318" s="30"/>
      <c r="G1318" s="29"/>
      <c r="H1318" s="30"/>
      <c r="I1318" s="29"/>
      <c r="J1318" s="29"/>
      <c r="K1318" s="29"/>
      <c r="L1318" s="29"/>
      <c r="M1318" s="29"/>
      <c r="N1318" s="29"/>
    </row>
    <row r="1319" spans="5:14" ht="12.5">
      <c r="E1319" s="29"/>
      <c r="F1319" s="30"/>
      <c r="G1319" s="29"/>
      <c r="H1319" s="30"/>
      <c r="I1319" s="29"/>
      <c r="J1319" s="29"/>
      <c r="K1319" s="29"/>
      <c r="L1319" s="29"/>
      <c r="M1319" s="29"/>
      <c r="N1319" s="29"/>
    </row>
    <row r="1320" spans="5:14" ht="12.5">
      <c r="E1320" s="29"/>
      <c r="F1320" s="30"/>
      <c r="G1320" s="29"/>
      <c r="H1320" s="30"/>
      <c r="I1320" s="29"/>
      <c r="J1320" s="29"/>
      <c r="K1320" s="29"/>
      <c r="L1320" s="29"/>
      <c r="M1320" s="29"/>
      <c r="N1320" s="29"/>
    </row>
    <row r="1321" spans="5:14" ht="12.5">
      <c r="E1321" s="29"/>
      <c r="F1321" s="30"/>
      <c r="G1321" s="29"/>
      <c r="H1321" s="30"/>
      <c r="I1321" s="29"/>
      <c r="J1321" s="29"/>
      <c r="K1321" s="29"/>
      <c r="L1321" s="29"/>
      <c r="M1321" s="29"/>
      <c r="N1321" s="29"/>
    </row>
    <row r="1322" spans="5:14" ht="12.5">
      <c r="E1322" s="29"/>
      <c r="F1322" s="30"/>
      <c r="G1322" s="29"/>
      <c r="H1322" s="30"/>
      <c r="I1322" s="29"/>
      <c r="J1322" s="29"/>
      <c r="K1322" s="29"/>
      <c r="L1322" s="29"/>
      <c r="M1322" s="29"/>
      <c r="N1322" s="29"/>
    </row>
    <row r="1323" spans="5:14" ht="12.5">
      <c r="E1323" s="29"/>
      <c r="F1323" s="30"/>
      <c r="G1323" s="29"/>
      <c r="H1323" s="30"/>
      <c r="I1323" s="29"/>
      <c r="J1323" s="29"/>
      <c r="K1323" s="29"/>
      <c r="L1323" s="29"/>
      <c r="M1323" s="29"/>
      <c r="N1323" s="29"/>
    </row>
    <row r="1324" spans="5:14" ht="12.5">
      <c r="E1324" s="29"/>
      <c r="F1324" s="30"/>
      <c r="G1324" s="29"/>
      <c r="H1324" s="30"/>
      <c r="I1324" s="29"/>
      <c r="J1324" s="29"/>
      <c r="K1324" s="29"/>
      <c r="L1324" s="29"/>
      <c r="M1324" s="29"/>
      <c r="N1324" s="29"/>
    </row>
    <row r="1325" spans="5:14" ht="12.5">
      <c r="E1325" s="29"/>
      <c r="F1325" s="30"/>
      <c r="G1325" s="29"/>
      <c r="H1325" s="30"/>
      <c r="I1325" s="29"/>
      <c r="J1325" s="29"/>
      <c r="K1325" s="29"/>
      <c r="L1325" s="29"/>
      <c r="M1325" s="29"/>
      <c r="N1325" s="29"/>
    </row>
    <row r="1326" spans="5:14" ht="12.5">
      <c r="E1326" s="29"/>
      <c r="F1326" s="30"/>
      <c r="G1326" s="29"/>
      <c r="H1326" s="30"/>
      <c r="I1326" s="29"/>
      <c r="J1326" s="29"/>
      <c r="K1326" s="29"/>
      <c r="L1326" s="29"/>
      <c r="M1326" s="29"/>
      <c r="N1326" s="29"/>
    </row>
    <row r="1327" spans="5:14" ht="12.5">
      <c r="E1327" s="29"/>
      <c r="F1327" s="30"/>
      <c r="G1327" s="29"/>
      <c r="H1327" s="30"/>
      <c r="I1327" s="29"/>
      <c r="J1327" s="29"/>
      <c r="K1327" s="29"/>
      <c r="L1327" s="29"/>
      <c r="M1327" s="29"/>
      <c r="N1327" s="29"/>
    </row>
    <row r="1328" spans="5:14" ht="12.5">
      <c r="E1328" s="29"/>
      <c r="F1328" s="30"/>
      <c r="G1328" s="29"/>
      <c r="H1328" s="30"/>
      <c r="I1328" s="29"/>
      <c r="J1328" s="29"/>
      <c r="K1328" s="29"/>
      <c r="L1328" s="29"/>
      <c r="M1328" s="29"/>
      <c r="N1328" s="29"/>
    </row>
    <row r="1329" spans="5:14" ht="12.5">
      <c r="E1329" s="29"/>
      <c r="F1329" s="30"/>
      <c r="G1329" s="29"/>
      <c r="H1329" s="30"/>
      <c r="I1329" s="29"/>
      <c r="J1329" s="29"/>
      <c r="K1329" s="29"/>
      <c r="L1329" s="29"/>
      <c r="M1329" s="29"/>
      <c r="N1329" s="29"/>
    </row>
    <row r="1330" spans="5:14" ht="12.5">
      <c r="E1330" s="29"/>
      <c r="F1330" s="30"/>
      <c r="G1330" s="29"/>
      <c r="H1330" s="30"/>
      <c r="I1330" s="29"/>
      <c r="J1330" s="29"/>
      <c r="K1330" s="29"/>
      <c r="L1330" s="29"/>
      <c r="M1330" s="29"/>
      <c r="N1330" s="29"/>
    </row>
    <row r="1331" spans="5:14" ht="12.5">
      <c r="E1331" s="29"/>
      <c r="F1331" s="30"/>
      <c r="G1331" s="29"/>
      <c r="H1331" s="30"/>
      <c r="I1331" s="29"/>
      <c r="J1331" s="29"/>
      <c r="K1331" s="29"/>
      <c r="L1331" s="29"/>
      <c r="M1331" s="29"/>
      <c r="N1331" s="29"/>
    </row>
    <row r="1332" spans="5:14" ht="12.5">
      <c r="E1332" s="29"/>
      <c r="F1332" s="30"/>
      <c r="G1332" s="29"/>
      <c r="H1332" s="30"/>
      <c r="I1332" s="29"/>
      <c r="J1332" s="29"/>
      <c r="K1332" s="29"/>
      <c r="L1332" s="29"/>
      <c r="M1332" s="29"/>
      <c r="N1332" s="29"/>
    </row>
    <row r="1333" spans="5:14" ht="12.5">
      <c r="E1333" s="29"/>
      <c r="F1333" s="30"/>
      <c r="G1333" s="29"/>
      <c r="H1333" s="30"/>
      <c r="I1333" s="29"/>
      <c r="J1333" s="29"/>
      <c r="K1333" s="29"/>
      <c r="L1333" s="29"/>
      <c r="M1333" s="29"/>
      <c r="N1333" s="29"/>
    </row>
    <row r="1334" spans="5:14" ht="12.5">
      <c r="E1334" s="29"/>
      <c r="F1334" s="30"/>
      <c r="G1334" s="29"/>
      <c r="H1334" s="30"/>
      <c r="I1334" s="29"/>
      <c r="J1334" s="29"/>
      <c r="K1334" s="29"/>
      <c r="L1334" s="29"/>
      <c r="M1334" s="29"/>
      <c r="N1334" s="29"/>
    </row>
    <row r="1335" spans="5:14" ht="12.5">
      <c r="E1335" s="29"/>
      <c r="F1335" s="30"/>
      <c r="G1335" s="29"/>
      <c r="H1335" s="30"/>
      <c r="I1335" s="29"/>
      <c r="J1335" s="29"/>
      <c r="K1335" s="29"/>
      <c r="L1335" s="29"/>
      <c r="M1335" s="29"/>
      <c r="N1335" s="29"/>
    </row>
    <row r="1336" spans="5:14" ht="12.5">
      <c r="E1336" s="29"/>
      <c r="F1336" s="30"/>
      <c r="G1336" s="29"/>
      <c r="H1336" s="30"/>
      <c r="I1336" s="29"/>
      <c r="J1336" s="29"/>
      <c r="K1336" s="29"/>
      <c r="L1336" s="29"/>
      <c r="M1336" s="29"/>
      <c r="N1336" s="29"/>
    </row>
    <row r="1337" spans="5:14" ht="12.5">
      <c r="E1337" s="29"/>
      <c r="F1337" s="30"/>
      <c r="G1337" s="29"/>
      <c r="H1337" s="30"/>
      <c r="I1337" s="29"/>
      <c r="J1337" s="29"/>
      <c r="K1337" s="29"/>
      <c r="L1337" s="29"/>
      <c r="M1337" s="29"/>
      <c r="N1337" s="29"/>
    </row>
    <row r="1338" spans="5:14" ht="12.5">
      <c r="E1338" s="29"/>
      <c r="F1338" s="30"/>
      <c r="G1338" s="29"/>
      <c r="H1338" s="30"/>
      <c r="I1338" s="29"/>
      <c r="J1338" s="29"/>
      <c r="K1338" s="29"/>
      <c r="L1338" s="29"/>
      <c r="M1338" s="29"/>
      <c r="N1338" s="29"/>
    </row>
    <row r="1339" spans="5:14" ht="12.5">
      <c r="E1339" s="29"/>
      <c r="F1339" s="30"/>
      <c r="G1339" s="29"/>
      <c r="H1339" s="30"/>
      <c r="I1339" s="29"/>
      <c r="J1339" s="29"/>
      <c r="K1339" s="29"/>
      <c r="L1339" s="29"/>
      <c r="M1339" s="29"/>
      <c r="N1339" s="29"/>
    </row>
    <row r="1340" spans="5:14" ht="12.5">
      <c r="E1340" s="29"/>
      <c r="F1340" s="30"/>
      <c r="G1340" s="29"/>
      <c r="H1340" s="30"/>
      <c r="I1340" s="29"/>
      <c r="J1340" s="29"/>
      <c r="K1340" s="29"/>
      <c r="L1340" s="29"/>
      <c r="M1340" s="29"/>
      <c r="N1340" s="29"/>
    </row>
    <row r="1341" spans="5:14" ht="12.5">
      <c r="E1341" s="29"/>
      <c r="F1341" s="30"/>
      <c r="G1341" s="29"/>
      <c r="H1341" s="30"/>
      <c r="I1341" s="29"/>
      <c r="J1341" s="29"/>
      <c r="K1341" s="29"/>
      <c r="L1341" s="29"/>
      <c r="M1341" s="29"/>
      <c r="N1341" s="29"/>
    </row>
    <row r="1342" spans="5:14" ht="12.5">
      <c r="E1342" s="29"/>
      <c r="F1342" s="30"/>
      <c r="G1342" s="29"/>
      <c r="H1342" s="30"/>
      <c r="I1342" s="29"/>
      <c r="J1342" s="29"/>
      <c r="K1342" s="29"/>
      <c r="L1342" s="29"/>
      <c r="M1342" s="29"/>
      <c r="N1342" s="29"/>
    </row>
    <row r="1343" spans="5:14" ht="12.5">
      <c r="E1343" s="29"/>
      <c r="F1343" s="30"/>
      <c r="G1343" s="29"/>
      <c r="H1343" s="30"/>
      <c r="I1343" s="29"/>
      <c r="J1343" s="29"/>
      <c r="K1343" s="29"/>
      <c r="L1343" s="29"/>
      <c r="M1343" s="29"/>
      <c r="N1343" s="29"/>
    </row>
    <row r="1344" spans="5:14" ht="12.5">
      <c r="E1344" s="29"/>
      <c r="F1344" s="30"/>
      <c r="G1344" s="29"/>
      <c r="H1344" s="30"/>
      <c r="I1344" s="29"/>
      <c r="J1344" s="29"/>
      <c r="K1344" s="29"/>
      <c r="L1344" s="29"/>
      <c r="M1344" s="29"/>
      <c r="N1344" s="29"/>
    </row>
  </sheetData>
  <mergeCells count="11">
    <mergeCell ref="Q3:Q9"/>
    <mergeCell ref="E4:F4"/>
    <mergeCell ref="G4:H4"/>
    <mergeCell ref="I4:J4"/>
    <mergeCell ref="K4:L4"/>
    <mergeCell ref="M4:N4"/>
    <mergeCell ref="B2:N2"/>
    <mergeCell ref="B3:B4"/>
    <mergeCell ref="C3:C4"/>
    <mergeCell ref="D3:D4"/>
    <mergeCell ref="E3:N3"/>
  </mergeCells>
  <phoneticPr fontId="1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00"/>
    <outlinePr summaryBelow="0" summaryRight="0"/>
  </sheetPr>
  <dimension ref="A1:I1000"/>
  <sheetViews>
    <sheetView workbookViewId="0"/>
  </sheetViews>
  <sheetFormatPr defaultColWidth="12.7265625" defaultRowHeight="15.75" customHeight="1"/>
  <cols>
    <col min="1" max="1" width="3.1796875" customWidth="1"/>
    <col min="2" max="2" width="34.453125" customWidth="1"/>
    <col min="3" max="3" width="29.81640625" customWidth="1"/>
    <col min="4" max="4" width="15" customWidth="1"/>
    <col min="5" max="5" width="11.26953125" customWidth="1"/>
    <col min="6" max="6" width="20.7265625" customWidth="1"/>
    <col min="9" max="9" width="30.453125" customWidth="1"/>
  </cols>
  <sheetData>
    <row r="1" spans="1:9" ht="15.75" customHeight="1">
      <c r="A1" s="3" t="str">
        <f ca="1">IFERROR(__xludf.DUMMYFUNCTION("IMPORTRANGE(""https://docs.google.com/spreadsheets/d/1z9fQG67yFUlNxZgyUHeYrDQNzyf1YfJZ2JaDYfsH86U"", ""A1:G"")"),"")</f>
        <v/>
      </c>
      <c r="B1" s="43" t="str">
        <f ca="1">IFERROR(__xludf.DUMMYFUNCTION("""COMPUTED_VALUE"""),"所属かるた会")</f>
        <v>所属かるた会</v>
      </c>
      <c r="C1" s="43" t="str">
        <f ca="1">IFERROR(__xludf.DUMMYFUNCTION("""COMPUTED_VALUE"""),"フリガナ")</f>
        <v>フリガナ</v>
      </c>
      <c r="D1" s="43" t="str">
        <f ca="1">IFERROR(__xludf.DUMMYFUNCTION("""COMPUTED_VALUE"""),"都道府県")</f>
        <v>都道府県</v>
      </c>
      <c r="E1" s="43" t="str">
        <f ca="1">IFERROR(__xludf.DUMMYFUNCTION("""COMPUTED_VALUE"""),"所属会ID")</f>
        <v>所属会ID</v>
      </c>
      <c r="F1" s="43" t="str">
        <f ca="1">IFERROR(__xludf.DUMMYFUNCTION("""COMPUTED_VALUE"""),"支部")</f>
        <v>支部</v>
      </c>
      <c r="G1" s="43" t="str">
        <f ca="1">IFERROR(__xludf.DUMMYFUNCTION("""COMPUTED_VALUE"""),"認可")</f>
        <v>認可</v>
      </c>
      <c r="H1" s="44"/>
      <c r="I1" s="45" t="s">
        <v>775</v>
      </c>
    </row>
    <row r="2" spans="1:9" ht="15.5">
      <c r="A2" s="2">
        <f ca="1">IFERROR(__xludf.DUMMYFUNCTION("""COMPUTED_VALUE"""),1)</f>
        <v>1</v>
      </c>
      <c r="B2" s="44" t="str">
        <f ca="1">IFERROR(__xludf.DUMMYFUNCTION("""COMPUTED_VALUE"""),"大津あきのた会")</f>
        <v>大津あきのた会</v>
      </c>
      <c r="C2" s="44" t="str">
        <f ca="1">IFERROR(__xludf.DUMMYFUNCTION("""COMPUTED_VALUE"""),"オオツアキノタカイ")</f>
        <v>オオツアキノタカイ</v>
      </c>
      <c r="D2" s="44" t="str">
        <f ca="1">IFERROR(__xludf.DUMMYFUNCTION("""COMPUTED_VALUE"""),"滋賀県")</f>
        <v>滋賀県</v>
      </c>
      <c r="E2" s="46">
        <f ca="1">IFERROR(__xludf.DUMMYFUNCTION("""COMPUTED_VALUE"""),500)</f>
        <v>500</v>
      </c>
      <c r="F2" s="47" t="str">
        <f ca="1">IFERROR(__xludf.DUMMYFUNCTION("""COMPUTED_VALUE"""),"近畿")</f>
        <v>近畿</v>
      </c>
      <c r="G2" s="44"/>
      <c r="H2" s="44"/>
    </row>
    <row r="3" spans="1:9" ht="15.5">
      <c r="A3" s="2">
        <f ca="1">IFERROR(__xludf.DUMMYFUNCTION("""COMPUTED_VALUE"""),2)</f>
        <v>2</v>
      </c>
      <c r="B3" s="44" t="str">
        <f ca="1">IFERROR(__xludf.DUMMYFUNCTION("""COMPUTED_VALUE"""),"彦根むらさめ会")</f>
        <v>彦根むらさめ会</v>
      </c>
      <c r="C3" s="44" t="str">
        <f ca="1">IFERROR(__xludf.DUMMYFUNCTION("""COMPUTED_VALUE"""),"ヒコネムラサメカイ")</f>
        <v>ヒコネムラサメカイ</v>
      </c>
      <c r="D3" s="44" t="str">
        <f ca="1">IFERROR(__xludf.DUMMYFUNCTION("""COMPUTED_VALUE"""),"滋賀県")</f>
        <v>滋賀県</v>
      </c>
      <c r="E3" s="46">
        <f ca="1">IFERROR(__xludf.DUMMYFUNCTION("""COMPUTED_VALUE"""),400)</f>
        <v>400</v>
      </c>
      <c r="F3" s="47" t="str">
        <f ca="1">IFERROR(__xludf.DUMMYFUNCTION("""COMPUTED_VALUE"""),"近畿")</f>
        <v>近畿</v>
      </c>
      <c r="G3" s="44"/>
      <c r="H3" s="44"/>
    </row>
    <row r="4" spans="1:9" ht="15.5">
      <c r="A4" s="2">
        <f ca="1">IFERROR(__xludf.DUMMYFUNCTION("""COMPUTED_VALUE"""),3)</f>
        <v>3</v>
      </c>
      <c r="B4" s="44" t="str">
        <f ca="1">IFERROR(__xludf.DUMMYFUNCTION("""COMPUTED_VALUE"""),"日野三笠会")</f>
        <v>日野三笠会</v>
      </c>
      <c r="C4" s="44" t="str">
        <f ca="1">IFERROR(__xludf.DUMMYFUNCTION("""COMPUTED_VALUE"""),"ヒノミカサカイ")</f>
        <v>ヒノミカサカイ</v>
      </c>
      <c r="D4" s="44" t="str">
        <f ca="1">IFERROR(__xludf.DUMMYFUNCTION("""COMPUTED_VALUE"""),"滋賀県")</f>
        <v>滋賀県</v>
      </c>
      <c r="E4" s="46">
        <f ca="1">IFERROR(__xludf.DUMMYFUNCTION("""COMPUTED_VALUE"""),401)</f>
        <v>401</v>
      </c>
      <c r="F4" s="47" t="str">
        <f ca="1">IFERROR(__xludf.DUMMYFUNCTION("""COMPUTED_VALUE"""),"近畿")</f>
        <v>近畿</v>
      </c>
      <c r="G4" s="44"/>
      <c r="H4" s="44"/>
    </row>
    <row r="5" spans="1:9" ht="15.5">
      <c r="A5" s="2">
        <f ca="1">IFERROR(__xludf.DUMMYFUNCTION("""COMPUTED_VALUE"""),4)</f>
        <v>4</v>
      </c>
      <c r="B5" s="44" t="str">
        <f ca="1">IFERROR(__xludf.DUMMYFUNCTION("""COMPUTED_VALUE"""),"甲賀かるた会")</f>
        <v>甲賀かるた会</v>
      </c>
      <c r="C5" s="44" t="str">
        <f ca="1">IFERROR(__xludf.DUMMYFUNCTION("""COMPUTED_VALUE"""),"コウカカルタカイ")</f>
        <v>コウカカルタカイ</v>
      </c>
      <c r="D5" s="44" t="str">
        <f ca="1">IFERROR(__xludf.DUMMYFUNCTION("""COMPUTED_VALUE"""),"滋賀県")</f>
        <v>滋賀県</v>
      </c>
      <c r="E5" s="46">
        <f ca="1">IFERROR(__xludf.DUMMYFUNCTION("""COMPUTED_VALUE"""),402)</f>
        <v>402</v>
      </c>
      <c r="F5" s="47" t="str">
        <f ca="1">IFERROR(__xludf.DUMMYFUNCTION("""COMPUTED_VALUE"""),"近畿")</f>
        <v>近畿</v>
      </c>
      <c r="G5" s="44"/>
      <c r="H5" s="44"/>
    </row>
    <row r="6" spans="1:9" ht="15.5">
      <c r="A6" s="2">
        <f ca="1">IFERROR(__xludf.DUMMYFUNCTION("""COMPUTED_VALUE"""),5)</f>
        <v>5</v>
      </c>
      <c r="B6" s="44" t="str">
        <f ca="1">IFERROR(__xludf.DUMMYFUNCTION("""COMPUTED_VALUE"""),"近江神宮かるた会")</f>
        <v>近江神宮かるた会</v>
      </c>
      <c r="C6" s="44" t="str">
        <f ca="1">IFERROR(__xludf.DUMMYFUNCTION("""COMPUTED_VALUE"""),"オウミジングウカルタカイ")</f>
        <v>オウミジングウカルタカイ</v>
      </c>
      <c r="D6" s="44" t="str">
        <f ca="1">IFERROR(__xludf.DUMMYFUNCTION("""COMPUTED_VALUE"""),"滋賀県")</f>
        <v>滋賀県</v>
      </c>
      <c r="E6" s="46">
        <f ca="1">IFERROR(__xludf.DUMMYFUNCTION("""COMPUTED_VALUE"""),403)</f>
        <v>403</v>
      </c>
      <c r="F6" s="47" t="str">
        <f ca="1">IFERROR(__xludf.DUMMYFUNCTION("""COMPUTED_VALUE"""),"近畿")</f>
        <v>近畿</v>
      </c>
      <c r="G6" s="44"/>
      <c r="H6" s="44"/>
    </row>
    <row r="7" spans="1:9" ht="15.5">
      <c r="A7" s="2">
        <f ca="1">IFERROR(__xludf.DUMMYFUNCTION("""COMPUTED_VALUE"""),6)</f>
        <v>6</v>
      </c>
      <c r="B7" s="44" t="str">
        <f ca="1">IFERROR(__xludf.DUMMYFUNCTION("""COMPUTED_VALUE"""),"守山かるた会")</f>
        <v>守山かるた会</v>
      </c>
      <c r="C7" s="44" t="str">
        <f ca="1">IFERROR(__xludf.DUMMYFUNCTION("""COMPUTED_VALUE"""),"モリヤマカルタカイ")</f>
        <v>モリヤマカルタカイ</v>
      </c>
      <c r="D7" s="44" t="str">
        <f ca="1">IFERROR(__xludf.DUMMYFUNCTION("""COMPUTED_VALUE"""),"滋賀県")</f>
        <v>滋賀県</v>
      </c>
      <c r="E7" s="46">
        <f ca="1">IFERROR(__xludf.DUMMYFUNCTION("""COMPUTED_VALUE"""),404)</f>
        <v>404</v>
      </c>
      <c r="F7" s="47" t="str">
        <f ca="1">IFERROR(__xludf.DUMMYFUNCTION("""COMPUTED_VALUE"""),"近畿")</f>
        <v>近畿</v>
      </c>
      <c r="G7" s="44" t="str">
        <f ca="1">IFERROR(__xludf.DUMMYFUNCTION("""COMPUTED_VALUE"""),"非公認")</f>
        <v>非公認</v>
      </c>
      <c r="H7" s="44"/>
    </row>
    <row r="8" spans="1:9" ht="15.5">
      <c r="A8" s="2">
        <f ca="1">IFERROR(__xludf.DUMMYFUNCTION("""COMPUTED_VALUE"""),7)</f>
        <v>7</v>
      </c>
      <c r="B8" s="44" t="str">
        <f ca="1">IFERROR(__xludf.DUMMYFUNCTION("""COMPUTED_VALUE"""),"幸福の科学学園関西中学校・高等学校")</f>
        <v>幸福の科学学園関西中学校・高等学校</v>
      </c>
      <c r="C8" s="44" t="str">
        <f ca="1">IFERROR(__xludf.DUMMYFUNCTION("""COMPUTED_VALUE"""),"コウフクノカガクガクエンカンサイチュウガッコウコウトウガッコウ")</f>
        <v>コウフクノカガクガクエンカンサイチュウガッコウコウトウガッコウ</v>
      </c>
      <c r="D8" s="44" t="str">
        <f ca="1">IFERROR(__xludf.DUMMYFUNCTION("""COMPUTED_VALUE"""),"滋賀県")</f>
        <v>滋賀県</v>
      </c>
      <c r="E8" s="46">
        <f ca="1">IFERROR(__xludf.DUMMYFUNCTION("""COMPUTED_VALUE"""),405)</f>
        <v>405</v>
      </c>
      <c r="F8" s="47" t="str">
        <f ca="1">IFERROR(__xludf.DUMMYFUNCTION("""COMPUTED_VALUE"""),"近畿")</f>
        <v>近畿</v>
      </c>
      <c r="G8" s="44" t="str">
        <f ca="1">IFERROR(__xludf.DUMMYFUNCTION("""COMPUTED_VALUE"""),"非公認")</f>
        <v>非公認</v>
      </c>
      <c r="H8" s="44"/>
    </row>
    <row r="9" spans="1:9" ht="15.5">
      <c r="A9" s="2">
        <f ca="1">IFERROR(__xludf.DUMMYFUNCTION("""COMPUTED_VALUE"""),8)</f>
        <v>8</v>
      </c>
      <c r="B9" s="44" t="str">
        <f ca="1">IFERROR(__xludf.DUMMYFUNCTION("""COMPUTED_VALUE"""),"NHK文化センター京都教室")</f>
        <v>NHK文化センター京都教室</v>
      </c>
      <c r="C9" s="44" t="str">
        <f ca="1">IFERROR(__xludf.DUMMYFUNCTION("""COMPUTED_VALUE"""),"エヌエイチケイブンカセンターキョウトキョウシツ")</f>
        <v>エヌエイチケイブンカセンターキョウトキョウシツ</v>
      </c>
      <c r="D9" s="44" t="str">
        <f ca="1">IFERROR(__xludf.DUMMYFUNCTION("""COMPUTED_VALUE"""),"滋賀県")</f>
        <v>滋賀県</v>
      </c>
      <c r="E9" s="46">
        <f ca="1">IFERROR(__xludf.DUMMYFUNCTION("""COMPUTED_VALUE"""),406)</f>
        <v>406</v>
      </c>
      <c r="F9" s="47" t="str">
        <f ca="1">IFERROR(__xludf.DUMMYFUNCTION("""COMPUTED_VALUE"""),"近畿")</f>
        <v>近畿</v>
      </c>
      <c r="G9" s="44" t="str">
        <f ca="1">IFERROR(__xludf.DUMMYFUNCTION("""COMPUTED_VALUE"""),"非公認")</f>
        <v>非公認</v>
      </c>
      <c r="H9" s="44"/>
    </row>
    <row r="10" spans="1:9" ht="15.5">
      <c r="A10" s="2">
        <f ca="1">IFERROR(__xludf.DUMMYFUNCTION("""COMPUTED_VALUE"""),9)</f>
        <v>9</v>
      </c>
      <c r="B10" s="44" t="str">
        <f ca="1">IFERROR(__xludf.DUMMYFUNCTION("""COMPUTED_VALUE"""),"NHK文化センター梅田教室")</f>
        <v>NHK文化センター梅田教室</v>
      </c>
      <c r="C10" s="44" t="str">
        <f ca="1">IFERROR(__xludf.DUMMYFUNCTION("""COMPUTED_VALUE"""),"エヌエイチケイブンカセンターウメダキョウシツ")</f>
        <v>エヌエイチケイブンカセンターウメダキョウシツ</v>
      </c>
      <c r="D10" s="44" t="str">
        <f ca="1">IFERROR(__xludf.DUMMYFUNCTION("""COMPUTED_VALUE"""),"滋賀県")</f>
        <v>滋賀県</v>
      </c>
      <c r="E10" s="46">
        <f ca="1">IFERROR(__xludf.DUMMYFUNCTION("""COMPUTED_VALUE"""),407)</f>
        <v>407</v>
      </c>
      <c r="F10" s="47" t="str">
        <f ca="1">IFERROR(__xludf.DUMMYFUNCTION("""COMPUTED_VALUE"""),"近畿")</f>
        <v>近畿</v>
      </c>
      <c r="G10" s="44" t="str">
        <f ca="1">IFERROR(__xludf.DUMMYFUNCTION("""COMPUTED_VALUE"""),"非公認")</f>
        <v>非公認</v>
      </c>
      <c r="H10" s="44"/>
    </row>
    <row r="11" spans="1:9" ht="15.5">
      <c r="A11" s="2">
        <f ca="1">IFERROR(__xludf.DUMMYFUNCTION("""COMPUTED_VALUE"""),10)</f>
        <v>10</v>
      </c>
      <c r="B11" s="44" t="str">
        <f ca="1">IFERROR(__xludf.DUMMYFUNCTION("""COMPUTED_VALUE"""),"NHK文化センター")</f>
        <v>NHK文化センター</v>
      </c>
      <c r="C11" s="44" t="str">
        <f ca="1">IFERROR(__xludf.DUMMYFUNCTION("""COMPUTED_VALUE"""),"NHKブンカセンター")</f>
        <v>NHKブンカセンター</v>
      </c>
      <c r="D11" s="44" t="str">
        <f ca="1">IFERROR(__xludf.DUMMYFUNCTION("""COMPUTED_VALUE"""),"滋賀県")</f>
        <v>滋賀県</v>
      </c>
      <c r="E11" s="46">
        <f ca="1">IFERROR(__xludf.DUMMYFUNCTION("""COMPUTED_VALUE"""),408)</f>
        <v>408</v>
      </c>
      <c r="F11" s="47" t="str">
        <f ca="1">IFERROR(__xludf.DUMMYFUNCTION("""COMPUTED_VALUE"""),"近畿")</f>
        <v>近畿</v>
      </c>
      <c r="G11" s="44" t="str">
        <f ca="1">IFERROR(__xludf.DUMMYFUNCTION("""COMPUTED_VALUE"""),"非公認")</f>
        <v>非公認</v>
      </c>
      <c r="H11" s="44"/>
    </row>
    <row r="12" spans="1:9" ht="15.5">
      <c r="A12" s="2">
        <f ca="1">IFERROR(__xludf.DUMMYFUNCTION("""COMPUTED_VALUE"""),11)</f>
        <v>11</v>
      </c>
      <c r="B12" s="44" t="str">
        <f ca="1">IFERROR(__xludf.DUMMYFUNCTION("""COMPUTED_VALUE"""),"無所属")</f>
        <v>無所属</v>
      </c>
      <c r="C12" s="44" t="str">
        <f ca="1">IFERROR(__xludf.DUMMYFUNCTION("""COMPUTED_VALUE"""),"ムショゾク")</f>
        <v>ムショゾク</v>
      </c>
      <c r="D12" s="44" t="str">
        <f ca="1">IFERROR(__xludf.DUMMYFUNCTION("""COMPUTED_VALUE"""),"滋賀県")</f>
        <v>滋賀県</v>
      </c>
      <c r="E12" s="46">
        <f ca="1">IFERROR(__xludf.DUMMYFUNCTION("""COMPUTED_VALUE"""),409)</f>
        <v>409</v>
      </c>
      <c r="F12" s="48" t="str">
        <f ca="1">IFERROR(__xludf.DUMMYFUNCTION("""COMPUTED_VALUE"""),"近畿")</f>
        <v>近畿</v>
      </c>
      <c r="G12" s="44" t="str">
        <f ca="1">IFERROR(__xludf.DUMMYFUNCTION("""COMPUTED_VALUE"""),"非公認")</f>
        <v>非公認</v>
      </c>
      <c r="H12" s="44"/>
    </row>
    <row r="13" spans="1:9" ht="15.5">
      <c r="A13" s="2">
        <f ca="1">IFERROR(__xludf.DUMMYFUNCTION("""COMPUTED_VALUE"""),12)</f>
        <v>12</v>
      </c>
      <c r="B13" s="44" t="str">
        <f ca="1">IFERROR(__xludf.DUMMYFUNCTION("""COMPUTED_VALUE"""),"函館白妙会")</f>
        <v>函館白妙会</v>
      </c>
      <c r="C13" s="44" t="str">
        <f ca="1">IFERROR(__xludf.DUMMYFUNCTION("""COMPUTED_VALUE"""),"ハコダテシロタエカイ")</f>
        <v>ハコダテシロタエカイ</v>
      </c>
      <c r="D13" s="44" t="str">
        <f ca="1">IFERROR(__xludf.DUMMYFUNCTION("""COMPUTED_VALUE"""),"北海道")</f>
        <v>北海道</v>
      </c>
      <c r="E13" s="46">
        <f ca="1">IFERROR(__xludf.DUMMYFUNCTION("""COMPUTED_VALUE"""),1)</f>
        <v>1</v>
      </c>
      <c r="F13" s="48" t="str">
        <f ca="1">IFERROR(__xludf.DUMMYFUNCTION("""COMPUTED_VALUE"""),"北海道・東北")</f>
        <v>北海道・東北</v>
      </c>
      <c r="G13" s="44"/>
      <c r="H13" s="44"/>
    </row>
    <row r="14" spans="1:9" ht="15.5">
      <c r="A14" s="2">
        <f ca="1">IFERROR(__xludf.DUMMYFUNCTION("""COMPUTED_VALUE"""),13)</f>
        <v>13</v>
      </c>
      <c r="B14" s="44" t="str">
        <f ca="1">IFERROR(__xludf.DUMMYFUNCTION("""COMPUTED_VALUE"""),"北海道やよい会")</f>
        <v>北海道やよい会</v>
      </c>
      <c r="C14" s="44" t="str">
        <f ca="1">IFERROR(__xludf.DUMMYFUNCTION("""COMPUTED_VALUE"""),"ホッカイドウヤヨイカイ")</f>
        <v>ホッカイドウヤヨイカイ</v>
      </c>
      <c r="D14" s="44" t="str">
        <f ca="1">IFERROR(__xludf.DUMMYFUNCTION("""COMPUTED_VALUE"""),"北海道")</f>
        <v>北海道</v>
      </c>
      <c r="E14" s="46">
        <f ca="1">IFERROR(__xludf.DUMMYFUNCTION("""COMPUTED_VALUE"""),2)</f>
        <v>2</v>
      </c>
      <c r="F14" s="48" t="str">
        <f ca="1">IFERROR(__xludf.DUMMYFUNCTION("""COMPUTED_VALUE"""),"北海道・東北")</f>
        <v>北海道・東北</v>
      </c>
      <c r="G14" s="44"/>
      <c r="H14" s="44"/>
    </row>
    <row r="15" spans="1:9" ht="15.5">
      <c r="A15" s="2">
        <f ca="1">IFERROR(__xludf.DUMMYFUNCTION("""COMPUTED_VALUE"""),14)</f>
        <v>14</v>
      </c>
      <c r="B15" s="44" t="str">
        <f ca="1">IFERROR(__xludf.DUMMYFUNCTION("""COMPUTED_VALUE"""),"北海道大学かるた会")</f>
        <v>北海道大学かるた会</v>
      </c>
      <c r="C15" s="44" t="str">
        <f ca="1">IFERROR(__xludf.DUMMYFUNCTION("""COMPUTED_VALUE"""),"ホッカイドウダイガクカルタカイ")</f>
        <v>ホッカイドウダイガクカルタカイ</v>
      </c>
      <c r="D15" s="44" t="str">
        <f ca="1">IFERROR(__xludf.DUMMYFUNCTION("""COMPUTED_VALUE"""),"北海道")</f>
        <v>北海道</v>
      </c>
      <c r="E15" s="46">
        <f ca="1">IFERROR(__xludf.DUMMYFUNCTION("""COMPUTED_VALUE"""),3)</f>
        <v>3</v>
      </c>
      <c r="F15" s="48" t="str">
        <f ca="1">IFERROR(__xludf.DUMMYFUNCTION("""COMPUTED_VALUE"""),"北海道・東北")</f>
        <v>北海道・東北</v>
      </c>
      <c r="G15" s="44"/>
      <c r="H15" s="44"/>
    </row>
    <row r="16" spans="1:9" ht="15.5">
      <c r="A16" s="2">
        <f ca="1">IFERROR(__xludf.DUMMYFUNCTION("""COMPUTED_VALUE"""),15)</f>
        <v>15</v>
      </c>
      <c r="B16" s="44" t="str">
        <f ca="1">IFERROR(__xludf.DUMMYFUNCTION("""COMPUTED_VALUE"""),"旭川上の句競技かるた会")</f>
        <v>旭川上の句競技かるた会</v>
      </c>
      <c r="C16" s="44" t="str">
        <f ca="1">IFERROR(__xludf.DUMMYFUNCTION("""COMPUTED_VALUE"""),"アサヒカワカミノクキョウギカルタカイ")</f>
        <v>アサヒカワカミノクキョウギカルタカイ</v>
      </c>
      <c r="D16" s="44" t="str">
        <f ca="1">IFERROR(__xludf.DUMMYFUNCTION("""COMPUTED_VALUE"""),"北海道")</f>
        <v>北海道</v>
      </c>
      <c r="E16" s="46">
        <f ca="1">IFERROR(__xludf.DUMMYFUNCTION("""COMPUTED_VALUE"""),4)</f>
        <v>4</v>
      </c>
      <c r="F16" s="48" t="str">
        <f ca="1">IFERROR(__xludf.DUMMYFUNCTION("""COMPUTED_VALUE"""),"北海道・東北")</f>
        <v>北海道・東北</v>
      </c>
      <c r="G16" s="44"/>
      <c r="H16" s="44"/>
    </row>
    <row r="17" spans="1:8" ht="15.5">
      <c r="A17" s="2">
        <f ca="1">IFERROR(__xludf.DUMMYFUNCTION("""COMPUTED_VALUE"""),16)</f>
        <v>16</v>
      </c>
      <c r="B17" s="44" t="str">
        <f ca="1">IFERROR(__xludf.DUMMYFUNCTION("""COMPUTED_VALUE"""),"札幌六華会")</f>
        <v>札幌六華会</v>
      </c>
      <c r="C17" s="44" t="str">
        <f ca="1">IFERROR(__xludf.DUMMYFUNCTION("""COMPUTED_VALUE"""),"サッポロリッカカイ")</f>
        <v>サッポロリッカカイ</v>
      </c>
      <c r="D17" s="44" t="str">
        <f ca="1">IFERROR(__xludf.DUMMYFUNCTION("""COMPUTED_VALUE"""),"北海道")</f>
        <v>北海道</v>
      </c>
      <c r="E17" s="46">
        <f ca="1">IFERROR(__xludf.DUMMYFUNCTION("""COMPUTED_VALUE"""),5)</f>
        <v>5</v>
      </c>
      <c r="F17" s="48" t="str">
        <f ca="1">IFERROR(__xludf.DUMMYFUNCTION("""COMPUTED_VALUE"""),"北海道・東北")</f>
        <v>北海道・東北</v>
      </c>
      <c r="G17" s="44"/>
      <c r="H17" s="44"/>
    </row>
    <row r="18" spans="1:8" ht="15.5">
      <c r="A18" s="2">
        <f ca="1">IFERROR(__xludf.DUMMYFUNCTION("""COMPUTED_VALUE"""),17)</f>
        <v>17</v>
      </c>
      <c r="B18" s="44" t="str">
        <f ca="1">IFERROR(__xludf.DUMMYFUNCTION("""COMPUTED_VALUE"""),"青森かるた会")</f>
        <v>青森かるた会</v>
      </c>
      <c r="C18" s="44" t="str">
        <f ca="1">IFERROR(__xludf.DUMMYFUNCTION("""COMPUTED_VALUE"""),"アオモリカルタカイ")</f>
        <v>アオモリカルタカイ</v>
      </c>
      <c r="D18" s="44" t="str">
        <f ca="1">IFERROR(__xludf.DUMMYFUNCTION("""COMPUTED_VALUE"""),"青森県")</f>
        <v>青森県</v>
      </c>
      <c r="E18" s="46">
        <f ca="1">IFERROR(__xludf.DUMMYFUNCTION("""COMPUTED_VALUE"""),6)</f>
        <v>6</v>
      </c>
      <c r="F18" s="48" t="str">
        <f ca="1">IFERROR(__xludf.DUMMYFUNCTION("""COMPUTED_VALUE"""),"北海道・東北")</f>
        <v>北海道・東北</v>
      </c>
      <c r="G18" s="44"/>
      <c r="H18" s="44"/>
    </row>
    <row r="19" spans="1:8" ht="15.5">
      <c r="A19" s="2">
        <f ca="1">IFERROR(__xludf.DUMMYFUNCTION("""COMPUTED_VALUE"""),18)</f>
        <v>18</v>
      </c>
      <c r="B19" s="44" t="str">
        <f ca="1">IFERROR(__xludf.DUMMYFUNCTION("""COMPUTED_VALUE"""),"二戸かるた会")</f>
        <v>二戸かるた会</v>
      </c>
      <c r="C19" s="44" t="str">
        <f ca="1">IFERROR(__xludf.DUMMYFUNCTION("""COMPUTED_VALUE"""),"ニノヘカルタカイ")</f>
        <v>ニノヘカルタカイ</v>
      </c>
      <c r="D19" s="44" t="str">
        <f ca="1">IFERROR(__xludf.DUMMYFUNCTION("""COMPUTED_VALUE"""),"岩手県")</f>
        <v>岩手県</v>
      </c>
      <c r="E19" s="46">
        <f ca="1">IFERROR(__xludf.DUMMYFUNCTION("""COMPUTED_VALUE"""),7)</f>
        <v>7</v>
      </c>
      <c r="F19" s="47" t="str">
        <f ca="1">IFERROR(__xludf.DUMMYFUNCTION("""COMPUTED_VALUE"""),"北海道・東北")</f>
        <v>北海道・東北</v>
      </c>
      <c r="G19" s="44"/>
      <c r="H19" s="44"/>
    </row>
    <row r="20" spans="1:8" ht="15.5">
      <c r="A20" s="2">
        <f ca="1">IFERROR(__xludf.DUMMYFUNCTION("""COMPUTED_VALUE"""),19)</f>
        <v>19</v>
      </c>
      <c r="B20" s="44" t="str">
        <f ca="1">IFERROR(__xludf.DUMMYFUNCTION("""COMPUTED_VALUE"""),"水沢かるた会")</f>
        <v>水沢かるた会</v>
      </c>
      <c r="C20" s="44" t="str">
        <f ca="1">IFERROR(__xludf.DUMMYFUNCTION("""COMPUTED_VALUE"""),"ミズサワカルタカイ")</f>
        <v>ミズサワカルタカイ</v>
      </c>
      <c r="D20" s="44" t="str">
        <f ca="1">IFERROR(__xludf.DUMMYFUNCTION("""COMPUTED_VALUE"""),"岩手県")</f>
        <v>岩手県</v>
      </c>
      <c r="E20" s="46">
        <f ca="1">IFERROR(__xludf.DUMMYFUNCTION("""COMPUTED_VALUE"""),8)</f>
        <v>8</v>
      </c>
      <c r="F20" s="47" t="str">
        <f ca="1">IFERROR(__xludf.DUMMYFUNCTION("""COMPUTED_VALUE"""),"北海道・東北")</f>
        <v>北海道・東北</v>
      </c>
      <c r="G20" s="44"/>
      <c r="H20" s="44"/>
    </row>
    <row r="21" spans="1:8" ht="15.5">
      <c r="A21" s="2">
        <f ca="1">IFERROR(__xludf.DUMMYFUNCTION("""COMPUTED_VALUE"""),20)</f>
        <v>20</v>
      </c>
      <c r="B21" s="44" t="str">
        <f ca="1">IFERROR(__xludf.DUMMYFUNCTION("""COMPUTED_VALUE"""),"盛岡みちのく会")</f>
        <v>盛岡みちのく会</v>
      </c>
      <c r="C21" s="44" t="str">
        <f ca="1">IFERROR(__xludf.DUMMYFUNCTION("""COMPUTED_VALUE"""),"モリオカミチノクカイ")</f>
        <v>モリオカミチノクカイ</v>
      </c>
      <c r="D21" s="44" t="str">
        <f ca="1">IFERROR(__xludf.DUMMYFUNCTION("""COMPUTED_VALUE"""),"岩手県")</f>
        <v>岩手県</v>
      </c>
      <c r="E21" s="46">
        <f ca="1">IFERROR(__xludf.DUMMYFUNCTION("""COMPUTED_VALUE"""),9)</f>
        <v>9</v>
      </c>
      <c r="F21" s="47" t="str">
        <f ca="1">IFERROR(__xludf.DUMMYFUNCTION("""COMPUTED_VALUE"""),"北海道・東北")</f>
        <v>北海道・東北</v>
      </c>
      <c r="G21" s="44"/>
      <c r="H21" s="44"/>
    </row>
    <row r="22" spans="1:8" ht="15.5">
      <c r="A22" s="2">
        <f ca="1">IFERROR(__xludf.DUMMYFUNCTION("""COMPUTED_VALUE"""),21)</f>
        <v>21</v>
      </c>
      <c r="B22" s="44" t="str">
        <f ca="1">IFERROR(__xludf.DUMMYFUNCTION("""COMPUTED_VALUE"""),"秋田このはな会")</f>
        <v>秋田このはな会</v>
      </c>
      <c r="C22" s="44" t="str">
        <f ca="1">IFERROR(__xludf.DUMMYFUNCTION("""COMPUTED_VALUE"""),"アキタコノハナカイ")</f>
        <v>アキタコノハナカイ</v>
      </c>
      <c r="D22" s="44" t="str">
        <f ca="1">IFERROR(__xludf.DUMMYFUNCTION("""COMPUTED_VALUE"""),"秋田県")</f>
        <v>秋田県</v>
      </c>
      <c r="E22" s="46">
        <f ca="1">IFERROR(__xludf.DUMMYFUNCTION("""COMPUTED_VALUE"""),10)</f>
        <v>10</v>
      </c>
      <c r="F22" s="47" t="str">
        <f ca="1">IFERROR(__xludf.DUMMYFUNCTION("""COMPUTED_VALUE"""),"北海道・東北")</f>
        <v>北海道・東北</v>
      </c>
      <c r="G22" s="44"/>
      <c r="H22" s="44"/>
    </row>
    <row r="23" spans="1:8" ht="15.5">
      <c r="A23" s="2">
        <f ca="1">IFERROR(__xludf.DUMMYFUNCTION("""COMPUTED_VALUE"""),22)</f>
        <v>22</v>
      </c>
      <c r="B23" s="44" t="str">
        <f ca="1">IFERROR(__xludf.DUMMYFUNCTION("""COMPUTED_VALUE"""),"秋田中央かるた会")</f>
        <v>秋田中央かるた会</v>
      </c>
      <c r="C23" s="44" t="str">
        <f ca="1">IFERROR(__xludf.DUMMYFUNCTION("""COMPUTED_VALUE"""),"アキタチュウオウカルタカイ")</f>
        <v>アキタチュウオウカルタカイ</v>
      </c>
      <c r="D23" s="44" t="str">
        <f ca="1">IFERROR(__xludf.DUMMYFUNCTION("""COMPUTED_VALUE"""),"秋田県")</f>
        <v>秋田県</v>
      </c>
      <c r="E23" s="46">
        <f ca="1">IFERROR(__xludf.DUMMYFUNCTION("""COMPUTED_VALUE"""),11)</f>
        <v>11</v>
      </c>
      <c r="F23" s="47" t="str">
        <f ca="1">IFERROR(__xludf.DUMMYFUNCTION("""COMPUTED_VALUE"""),"北海道・東北")</f>
        <v>北海道・東北</v>
      </c>
      <c r="G23" s="44"/>
      <c r="H23" s="44"/>
    </row>
    <row r="24" spans="1:8" ht="15.5">
      <c r="A24" s="2">
        <f ca="1">IFERROR(__xludf.DUMMYFUNCTION("""COMPUTED_VALUE"""),23)</f>
        <v>23</v>
      </c>
      <c r="B24" s="44" t="str">
        <f ca="1">IFERROR(__xludf.DUMMYFUNCTION("""COMPUTED_VALUE"""),"秋田大学かるた会")</f>
        <v>秋田大学かるた会</v>
      </c>
      <c r="C24" s="44" t="str">
        <f ca="1">IFERROR(__xludf.DUMMYFUNCTION("""COMPUTED_VALUE"""),"アキタダイガクカルタカイ")</f>
        <v>アキタダイガクカルタカイ</v>
      </c>
      <c r="D24" s="44" t="str">
        <f ca="1">IFERROR(__xludf.DUMMYFUNCTION("""COMPUTED_VALUE"""),"秋田県")</f>
        <v>秋田県</v>
      </c>
      <c r="E24" s="46">
        <f ca="1">IFERROR(__xludf.DUMMYFUNCTION("""COMPUTED_VALUE"""),12)</f>
        <v>12</v>
      </c>
      <c r="F24" s="47" t="str">
        <f ca="1">IFERROR(__xludf.DUMMYFUNCTION("""COMPUTED_VALUE"""),"北海道・東北")</f>
        <v>北海道・東北</v>
      </c>
      <c r="G24" s="44"/>
      <c r="H24" s="44"/>
    </row>
    <row r="25" spans="1:8" ht="15.5">
      <c r="A25" s="2">
        <f ca="1">IFERROR(__xludf.DUMMYFUNCTION("""COMPUTED_VALUE"""),24)</f>
        <v>24</v>
      </c>
      <c r="B25" s="44" t="str">
        <f ca="1">IFERROR(__xludf.DUMMYFUNCTION("""COMPUTED_VALUE"""),"秋田県高等学校文化連盟")</f>
        <v>秋田県高等学校文化連盟</v>
      </c>
      <c r="C25" s="44" t="str">
        <f ca="1">IFERROR(__xludf.DUMMYFUNCTION("""COMPUTED_VALUE"""),"アキタケンコウトウガッコウブンカレンメイ")</f>
        <v>アキタケンコウトウガッコウブンカレンメイ</v>
      </c>
      <c r="D25" s="44" t="str">
        <f ca="1">IFERROR(__xludf.DUMMYFUNCTION("""COMPUTED_VALUE"""),"秋田県")</f>
        <v>秋田県</v>
      </c>
      <c r="E25" s="46">
        <f ca="1">IFERROR(__xludf.DUMMYFUNCTION("""COMPUTED_VALUE"""),13)</f>
        <v>13</v>
      </c>
      <c r="F25" s="47" t="str">
        <f ca="1">IFERROR(__xludf.DUMMYFUNCTION("""COMPUTED_VALUE"""),"北海道・東北")</f>
        <v>北海道・東北</v>
      </c>
      <c r="G25" s="44"/>
      <c r="H25" s="44"/>
    </row>
    <row r="26" spans="1:8" ht="15.5">
      <c r="A26" s="2">
        <f ca="1">IFERROR(__xludf.DUMMYFUNCTION("""COMPUTED_VALUE"""),25)</f>
        <v>25</v>
      </c>
      <c r="B26" s="44" t="str">
        <f ca="1">IFERROR(__xludf.DUMMYFUNCTION("""COMPUTED_VALUE"""),"花輪かるた会")</f>
        <v>花輪かるた会</v>
      </c>
      <c r="C26" s="44" t="str">
        <f ca="1">IFERROR(__xludf.DUMMYFUNCTION("""COMPUTED_VALUE"""),"ハナワカルタカイ")</f>
        <v>ハナワカルタカイ</v>
      </c>
      <c r="D26" s="44" t="str">
        <f ca="1">IFERROR(__xludf.DUMMYFUNCTION("""COMPUTED_VALUE"""),"秋田県")</f>
        <v>秋田県</v>
      </c>
      <c r="E26" s="46">
        <f ca="1">IFERROR(__xludf.DUMMYFUNCTION("""COMPUTED_VALUE"""),14)</f>
        <v>14</v>
      </c>
      <c r="F26" s="47" t="str">
        <f ca="1">IFERROR(__xludf.DUMMYFUNCTION("""COMPUTED_VALUE"""),"北海道・東北")</f>
        <v>北海道・東北</v>
      </c>
      <c r="G26" s="44"/>
      <c r="H26" s="44"/>
    </row>
    <row r="27" spans="1:8" ht="15.5">
      <c r="A27" s="2">
        <f ca="1">IFERROR(__xludf.DUMMYFUNCTION("""COMPUTED_VALUE"""),26)</f>
        <v>26</v>
      </c>
      <c r="B27" s="44" t="str">
        <f ca="1">IFERROR(__xludf.DUMMYFUNCTION("""COMPUTED_VALUE"""),"仙台中田かるた会")</f>
        <v>仙台中田かるた会</v>
      </c>
      <c r="C27" s="44" t="str">
        <f ca="1">IFERROR(__xludf.DUMMYFUNCTION("""COMPUTED_VALUE"""),"センダイナカダカルタカイ")</f>
        <v>センダイナカダカルタカイ</v>
      </c>
      <c r="D27" s="44" t="str">
        <f ca="1">IFERROR(__xludf.DUMMYFUNCTION("""COMPUTED_VALUE"""),"宮城県")</f>
        <v>宮城県</v>
      </c>
      <c r="E27" s="46">
        <f ca="1">IFERROR(__xludf.DUMMYFUNCTION("""COMPUTED_VALUE"""),15)</f>
        <v>15</v>
      </c>
      <c r="F27" s="47" t="str">
        <f ca="1">IFERROR(__xludf.DUMMYFUNCTION("""COMPUTED_VALUE"""),"北海道・東北")</f>
        <v>北海道・東北</v>
      </c>
      <c r="G27" s="44"/>
      <c r="H27" s="44"/>
    </row>
    <row r="28" spans="1:8" ht="15.5">
      <c r="A28" s="2">
        <f ca="1">IFERROR(__xludf.DUMMYFUNCTION("""COMPUTED_VALUE"""),27)</f>
        <v>27</v>
      </c>
      <c r="B28" s="44" t="str">
        <f ca="1">IFERROR(__xludf.DUMMYFUNCTION("""COMPUTED_VALUE"""),"仙台市役所かるた部")</f>
        <v>仙台市役所かるた部</v>
      </c>
      <c r="C28" s="44" t="str">
        <f ca="1">IFERROR(__xludf.DUMMYFUNCTION("""COMPUTED_VALUE"""),"センダイシヤクショカルタブ")</f>
        <v>センダイシヤクショカルタブ</v>
      </c>
      <c r="D28" s="44" t="str">
        <f ca="1">IFERROR(__xludf.DUMMYFUNCTION("""COMPUTED_VALUE"""),"宮城県")</f>
        <v>宮城県</v>
      </c>
      <c r="E28" s="46">
        <f ca="1">IFERROR(__xludf.DUMMYFUNCTION("""COMPUTED_VALUE"""),16)</f>
        <v>16</v>
      </c>
      <c r="F28" s="47" t="str">
        <f ca="1">IFERROR(__xludf.DUMMYFUNCTION("""COMPUTED_VALUE"""),"北海道・東北")</f>
        <v>北海道・東北</v>
      </c>
      <c r="G28" s="44"/>
      <c r="H28" s="44"/>
    </row>
    <row r="29" spans="1:8" ht="15.5">
      <c r="A29" s="2">
        <f ca="1">IFERROR(__xludf.DUMMYFUNCTION("""COMPUTED_VALUE"""),28)</f>
        <v>28</v>
      </c>
      <c r="B29" s="44" t="str">
        <f ca="1">IFERROR(__xludf.DUMMYFUNCTION("""COMPUTED_VALUE"""),"仙台白百合学園高校かるた部")</f>
        <v>仙台白百合学園高校かるた部</v>
      </c>
      <c r="C29" s="44" t="str">
        <f ca="1">IFERROR(__xludf.DUMMYFUNCTION("""COMPUTED_VALUE"""),"センダイシラユリガクエンコウコウカルタブ")</f>
        <v>センダイシラユリガクエンコウコウカルタブ</v>
      </c>
      <c r="D29" s="44" t="str">
        <f ca="1">IFERROR(__xludf.DUMMYFUNCTION("""COMPUTED_VALUE"""),"宮城県")</f>
        <v>宮城県</v>
      </c>
      <c r="E29" s="46">
        <f ca="1">IFERROR(__xludf.DUMMYFUNCTION("""COMPUTED_VALUE"""),17)</f>
        <v>17</v>
      </c>
      <c r="F29" s="47" t="str">
        <f ca="1">IFERROR(__xludf.DUMMYFUNCTION("""COMPUTED_VALUE"""),"北海道・東北")</f>
        <v>北海道・東北</v>
      </c>
      <c r="G29" s="44"/>
      <c r="H29" s="44"/>
    </row>
    <row r="30" spans="1:8" ht="15.5">
      <c r="A30" s="2">
        <f ca="1">IFERROR(__xludf.DUMMYFUNCTION("""COMPUTED_VALUE"""),29)</f>
        <v>29</v>
      </c>
      <c r="B30" s="44" t="str">
        <f ca="1">IFERROR(__xludf.DUMMYFUNCTION("""COMPUTED_VALUE"""),"仙台鵲会")</f>
        <v>仙台鵲会</v>
      </c>
      <c r="C30" s="44" t="str">
        <f ca="1">IFERROR(__xludf.DUMMYFUNCTION("""COMPUTED_VALUE"""),"センダイカササギカイ")</f>
        <v>センダイカササギカイ</v>
      </c>
      <c r="D30" s="44" t="str">
        <f ca="1">IFERROR(__xludf.DUMMYFUNCTION("""COMPUTED_VALUE"""),"宮城県")</f>
        <v>宮城県</v>
      </c>
      <c r="E30" s="46">
        <f ca="1">IFERROR(__xludf.DUMMYFUNCTION("""COMPUTED_VALUE"""),18)</f>
        <v>18</v>
      </c>
      <c r="F30" s="47" t="str">
        <f ca="1">IFERROR(__xludf.DUMMYFUNCTION("""COMPUTED_VALUE"""),"北海道・東北")</f>
        <v>北海道・東北</v>
      </c>
      <c r="G30" s="44"/>
      <c r="H30" s="44"/>
    </row>
    <row r="31" spans="1:8" ht="15.5">
      <c r="A31" s="2">
        <f ca="1">IFERROR(__xludf.DUMMYFUNCTION("""COMPUTED_VALUE"""),30)</f>
        <v>30</v>
      </c>
      <c r="B31" s="44" t="str">
        <f ca="1">IFERROR(__xludf.DUMMYFUNCTION("""COMPUTED_VALUE"""),"宮城学院中高かるた会")</f>
        <v>宮城学院中高かるた会</v>
      </c>
      <c r="C31" s="44" t="str">
        <f ca="1">IFERROR(__xludf.DUMMYFUNCTION("""COMPUTED_VALUE"""),"ミヤギガクインチュウコウカルタカイ")</f>
        <v>ミヤギガクインチュウコウカルタカイ</v>
      </c>
      <c r="D31" s="44" t="str">
        <f ca="1">IFERROR(__xludf.DUMMYFUNCTION("""COMPUTED_VALUE"""),"宮城県")</f>
        <v>宮城県</v>
      </c>
      <c r="E31" s="46">
        <f ca="1">IFERROR(__xludf.DUMMYFUNCTION("""COMPUTED_VALUE"""),19)</f>
        <v>19</v>
      </c>
      <c r="F31" s="47" t="str">
        <f ca="1">IFERROR(__xludf.DUMMYFUNCTION("""COMPUTED_VALUE"""),"北海道・東北")</f>
        <v>北海道・東北</v>
      </c>
      <c r="G31" s="44"/>
      <c r="H31" s="44"/>
    </row>
    <row r="32" spans="1:8" ht="15.5">
      <c r="A32" s="2">
        <f ca="1">IFERROR(__xludf.DUMMYFUNCTION("""COMPUTED_VALUE"""),31)</f>
        <v>31</v>
      </c>
      <c r="B32" s="44" t="str">
        <f ca="1">IFERROR(__xludf.DUMMYFUNCTION("""COMPUTED_VALUE"""),"宮城桜会")</f>
        <v>宮城桜会</v>
      </c>
      <c r="C32" s="44" t="str">
        <f ca="1">IFERROR(__xludf.DUMMYFUNCTION("""COMPUTED_VALUE"""),"ミヤギサクラカイ")</f>
        <v>ミヤギサクラカイ</v>
      </c>
      <c r="D32" s="44" t="str">
        <f ca="1">IFERROR(__xludf.DUMMYFUNCTION("""COMPUTED_VALUE"""),"宮城県")</f>
        <v>宮城県</v>
      </c>
      <c r="E32" s="46">
        <f ca="1">IFERROR(__xludf.DUMMYFUNCTION("""COMPUTED_VALUE"""),20)</f>
        <v>20</v>
      </c>
      <c r="F32" s="47" t="str">
        <f ca="1">IFERROR(__xludf.DUMMYFUNCTION("""COMPUTED_VALUE"""),"北海道・東北")</f>
        <v>北海道・東北</v>
      </c>
      <c r="G32" s="44"/>
      <c r="H32" s="44"/>
    </row>
    <row r="33" spans="1:8" ht="15.5">
      <c r="A33" s="2">
        <f ca="1">IFERROR(__xludf.DUMMYFUNCTION("""COMPUTED_VALUE"""),32)</f>
        <v>32</v>
      </c>
      <c r="B33" s="44" t="str">
        <f ca="1">IFERROR(__xludf.DUMMYFUNCTION("""COMPUTED_VALUE"""),"東北大学かるた会")</f>
        <v>東北大学かるた会</v>
      </c>
      <c r="C33" s="44" t="str">
        <f ca="1">IFERROR(__xludf.DUMMYFUNCTION("""COMPUTED_VALUE"""),"トウホクダイガクカルタカイ")</f>
        <v>トウホクダイガクカルタカイ</v>
      </c>
      <c r="D33" s="44" t="str">
        <f ca="1">IFERROR(__xludf.DUMMYFUNCTION("""COMPUTED_VALUE"""),"宮城県")</f>
        <v>宮城県</v>
      </c>
      <c r="E33" s="46">
        <f ca="1">IFERROR(__xludf.DUMMYFUNCTION("""COMPUTED_VALUE"""),21)</f>
        <v>21</v>
      </c>
      <c r="F33" s="47" t="str">
        <f ca="1">IFERROR(__xludf.DUMMYFUNCTION("""COMPUTED_VALUE"""),"北海道・東北")</f>
        <v>北海道・東北</v>
      </c>
      <c r="G33" s="44"/>
      <c r="H33" s="44"/>
    </row>
    <row r="34" spans="1:8" ht="15.5">
      <c r="A34" s="2">
        <f ca="1">IFERROR(__xludf.DUMMYFUNCTION("""COMPUTED_VALUE"""),33)</f>
        <v>33</v>
      </c>
      <c r="B34" s="44" t="str">
        <f ca="1">IFERROR(__xludf.DUMMYFUNCTION("""COMPUTED_VALUE"""),"山形かすみかるた会")</f>
        <v>山形かすみかるた会</v>
      </c>
      <c r="C34" s="44" t="str">
        <f ca="1">IFERROR(__xludf.DUMMYFUNCTION("""COMPUTED_VALUE"""),"ヤマガタカスミカルタカイ")</f>
        <v>ヤマガタカスミカルタカイ</v>
      </c>
      <c r="D34" s="44" t="str">
        <f ca="1">IFERROR(__xludf.DUMMYFUNCTION("""COMPUTED_VALUE"""),"山形県")</f>
        <v>山形県</v>
      </c>
      <c r="E34" s="46">
        <f ca="1">IFERROR(__xludf.DUMMYFUNCTION("""COMPUTED_VALUE"""),22)</f>
        <v>22</v>
      </c>
      <c r="F34" s="47" t="str">
        <f ca="1">IFERROR(__xludf.DUMMYFUNCTION("""COMPUTED_VALUE"""),"北海道・東北")</f>
        <v>北海道・東北</v>
      </c>
      <c r="G34" s="44"/>
      <c r="H34" s="44"/>
    </row>
    <row r="35" spans="1:8" ht="15.5">
      <c r="A35" s="2">
        <f ca="1">IFERROR(__xludf.DUMMYFUNCTION("""COMPUTED_VALUE"""),34)</f>
        <v>34</v>
      </c>
      <c r="B35" s="47" t="str">
        <f ca="1">IFERROR(__xludf.DUMMYFUNCTION("""COMPUTED_VALUE"""),"米沢かるた会")</f>
        <v>米沢かるた会</v>
      </c>
      <c r="C35" s="47" t="str">
        <f ca="1">IFERROR(__xludf.DUMMYFUNCTION("""COMPUTED_VALUE"""),"ヨネザワカルタカイ")</f>
        <v>ヨネザワカルタカイ</v>
      </c>
      <c r="D35" s="47" t="str">
        <f ca="1">IFERROR(__xludf.DUMMYFUNCTION("""COMPUTED_VALUE"""),"山形県")</f>
        <v>山形県</v>
      </c>
      <c r="E35" s="46">
        <f ca="1">IFERROR(__xludf.DUMMYFUNCTION("""COMPUTED_VALUE"""),23)</f>
        <v>23</v>
      </c>
      <c r="F35" s="47" t="str">
        <f ca="1">IFERROR(__xludf.DUMMYFUNCTION("""COMPUTED_VALUE"""),"北海道・東北")</f>
        <v>北海道・東北</v>
      </c>
      <c r="G35" s="47"/>
      <c r="H35" s="47"/>
    </row>
    <row r="36" spans="1:8" ht="15.5">
      <c r="A36" s="2">
        <f ca="1">IFERROR(__xludf.DUMMYFUNCTION("""COMPUTED_VALUE"""),35)</f>
        <v>35</v>
      </c>
      <c r="B36" s="47" t="str">
        <f ca="1">IFERROR(__xludf.DUMMYFUNCTION("""COMPUTED_VALUE"""),"酒田かるた会")</f>
        <v>酒田かるた会</v>
      </c>
      <c r="C36" s="47" t="str">
        <f ca="1">IFERROR(__xludf.DUMMYFUNCTION("""COMPUTED_VALUE"""),"サカタカルタカイ")</f>
        <v>サカタカルタカイ</v>
      </c>
      <c r="D36" s="47" t="str">
        <f ca="1">IFERROR(__xludf.DUMMYFUNCTION("""COMPUTED_VALUE"""),"山形県")</f>
        <v>山形県</v>
      </c>
      <c r="E36" s="46">
        <f ca="1">IFERROR(__xludf.DUMMYFUNCTION("""COMPUTED_VALUE"""),24)</f>
        <v>24</v>
      </c>
      <c r="F36" s="47" t="str">
        <f ca="1">IFERROR(__xludf.DUMMYFUNCTION("""COMPUTED_VALUE"""),"北海道・東北")</f>
        <v>北海道・東北</v>
      </c>
      <c r="G36" s="47"/>
      <c r="H36" s="47"/>
    </row>
    <row r="37" spans="1:8" ht="15.5">
      <c r="A37" s="2">
        <f ca="1">IFERROR(__xludf.DUMMYFUNCTION("""COMPUTED_VALUE"""),36)</f>
        <v>36</v>
      </c>
      <c r="B37" s="47" t="str">
        <f ca="1">IFERROR(__xludf.DUMMYFUNCTION("""COMPUTED_VALUE"""),"鶴岡かるた若葉会")</f>
        <v>鶴岡かるた若葉会</v>
      </c>
      <c r="C37" s="47" t="str">
        <f ca="1">IFERROR(__xludf.DUMMYFUNCTION("""COMPUTED_VALUE"""),"ツルオカカルタワカバカイ")</f>
        <v>ツルオカカルタワカバカイ</v>
      </c>
      <c r="D37" s="47" t="str">
        <f ca="1">IFERROR(__xludf.DUMMYFUNCTION("""COMPUTED_VALUE"""),"山形県")</f>
        <v>山形県</v>
      </c>
      <c r="E37" s="49">
        <f ca="1">IFERROR(__xludf.DUMMYFUNCTION("""COMPUTED_VALUE"""),25)</f>
        <v>25</v>
      </c>
      <c r="F37" s="47" t="str">
        <f ca="1">IFERROR(__xludf.DUMMYFUNCTION("""COMPUTED_VALUE"""),"北海道・東北")</f>
        <v>北海道・東北</v>
      </c>
      <c r="G37" s="47"/>
      <c r="H37" s="47"/>
    </row>
    <row r="38" spans="1:8" ht="15.5">
      <c r="A38" s="2">
        <f ca="1">IFERROR(__xludf.DUMMYFUNCTION("""COMPUTED_VALUE"""),37)</f>
        <v>37</v>
      </c>
      <c r="B38" s="47" t="str">
        <f ca="1">IFERROR(__xludf.DUMMYFUNCTION("""COMPUTED_VALUE"""),"安積黎明かるた部")</f>
        <v>安積黎明かるた部</v>
      </c>
      <c r="C38" s="47" t="str">
        <f ca="1">IFERROR(__xludf.DUMMYFUNCTION("""COMPUTED_VALUE"""),"アサカレイメイカルタブ")</f>
        <v>アサカレイメイカルタブ</v>
      </c>
      <c r="D38" s="47" t="str">
        <f ca="1">IFERROR(__xludf.DUMMYFUNCTION("""COMPUTED_VALUE"""),"福島県")</f>
        <v>福島県</v>
      </c>
      <c r="E38" s="49">
        <f ca="1">IFERROR(__xludf.DUMMYFUNCTION("""COMPUTED_VALUE"""),26)</f>
        <v>26</v>
      </c>
      <c r="F38" s="47" t="str">
        <f ca="1">IFERROR(__xludf.DUMMYFUNCTION("""COMPUTED_VALUE"""),"北海道・東北")</f>
        <v>北海道・東北</v>
      </c>
      <c r="G38" s="47"/>
      <c r="H38" s="47"/>
    </row>
    <row r="39" spans="1:8" ht="15.5">
      <c r="A39" s="2">
        <f ca="1">IFERROR(__xludf.DUMMYFUNCTION("""COMPUTED_VALUE"""),38)</f>
        <v>38</v>
      </c>
      <c r="B39" s="47" t="str">
        <f ca="1">IFERROR(__xludf.DUMMYFUNCTION("""COMPUTED_VALUE"""),"福島県かるた協会")</f>
        <v>福島県かるた協会</v>
      </c>
      <c r="C39" s="47" t="str">
        <f ca="1">IFERROR(__xludf.DUMMYFUNCTION("""COMPUTED_VALUE"""),"フクシマケンカルタキョウカイ")</f>
        <v>フクシマケンカルタキョウカイ</v>
      </c>
      <c r="D39" s="47" t="str">
        <f ca="1">IFERROR(__xludf.DUMMYFUNCTION("""COMPUTED_VALUE"""),"福島県")</f>
        <v>福島県</v>
      </c>
      <c r="E39" s="49">
        <f ca="1">IFERROR(__xludf.DUMMYFUNCTION("""COMPUTED_VALUE"""),27)</f>
        <v>27</v>
      </c>
      <c r="F39" s="47" t="str">
        <f ca="1">IFERROR(__xludf.DUMMYFUNCTION("""COMPUTED_VALUE"""),"北海道・東北")</f>
        <v>北海道・東北</v>
      </c>
      <c r="G39" s="47"/>
      <c r="H39" s="47"/>
    </row>
    <row r="40" spans="1:8" ht="15.5">
      <c r="A40" s="2">
        <f ca="1">IFERROR(__xludf.DUMMYFUNCTION("""COMPUTED_VALUE"""),39)</f>
        <v>39</v>
      </c>
      <c r="B40" s="47" t="str">
        <f ca="1">IFERROR(__xludf.DUMMYFUNCTION("""COMPUTED_VALUE"""),"福島葵会")</f>
        <v>福島葵会</v>
      </c>
      <c r="C40" s="47" t="str">
        <f ca="1">IFERROR(__xludf.DUMMYFUNCTION("""COMPUTED_VALUE"""),"フクシマアオイカイ")</f>
        <v>フクシマアオイカイ</v>
      </c>
      <c r="D40" s="47" t="str">
        <f ca="1">IFERROR(__xludf.DUMMYFUNCTION("""COMPUTED_VALUE"""),"福島県")</f>
        <v>福島県</v>
      </c>
      <c r="E40" s="49">
        <f ca="1">IFERROR(__xludf.DUMMYFUNCTION("""COMPUTED_VALUE"""),28)</f>
        <v>28</v>
      </c>
      <c r="F40" s="47" t="str">
        <f ca="1">IFERROR(__xludf.DUMMYFUNCTION("""COMPUTED_VALUE"""),"北海道・東北")</f>
        <v>北海道・東北</v>
      </c>
      <c r="G40" s="47"/>
      <c r="H40" s="47"/>
    </row>
    <row r="41" spans="1:8" ht="15.5">
      <c r="A41" s="2">
        <f ca="1">IFERROR(__xludf.DUMMYFUNCTION("""COMPUTED_VALUE"""),40)</f>
        <v>40</v>
      </c>
      <c r="B41" s="47" t="str">
        <f ca="1">IFERROR(__xludf.DUMMYFUNCTION("""COMPUTED_VALUE"""),"つくばねかるた会")</f>
        <v>つくばねかるた会</v>
      </c>
      <c r="C41" s="47" t="str">
        <f ca="1">IFERROR(__xludf.DUMMYFUNCTION("""COMPUTED_VALUE"""),"ツクバネカルタカイ")</f>
        <v>ツクバネカルタカイ</v>
      </c>
      <c r="D41" s="47" t="str">
        <f ca="1">IFERROR(__xludf.DUMMYFUNCTION("""COMPUTED_VALUE"""),"茨城県")</f>
        <v>茨城県</v>
      </c>
      <c r="E41" s="49">
        <f ca="1">IFERROR(__xludf.DUMMYFUNCTION("""COMPUTED_VALUE"""),29)</f>
        <v>29</v>
      </c>
      <c r="F41" s="47" t="str">
        <f ca="1">IFERROR(__xludf.DUMMYFUNCTION("""COMPUTED_VALUE"""),"関東")</f>
        <v>関東</v>
      </c>
      <c r="G41" s="47"/>
      <c r="H41" s="47"/>
    </row>
    <row r="42" spans="1:8" ht="15.5">
      <c r="A42" s="2">
        <f ca="1">IFERROR(__xludf.DUMMYFUNCTION("""COMPUTED_VALUE"""),41)</f>
        <v>41</v>
      </c>
      <c r="B42" s="47" t="str">
        <f ca="1">IFERROR(__xludf.DUMMYFUNCTION("""COMPUTED_VALUE"""),"取手聖徳かるた会")</f>
        <v>取手聖徳かるた会</v>
      </c>
      <c r="C42" s="47" t="str">
        <f ca="1">IFERROR(__xludf.DUMMYFUNCTION("""COMPUTED_VALUE"""),"トリデセイトクカルタカイ")</f>
        <v>トリデセイトクカルタカイ</v>
      </c>
      <c r="D42" s="47" t="str">
        <f ca="1">IFERROR(__xludf.DUMMYFUNCTION("""COMPUTED_VALUE"""),"茨城県")</f>
        <v>茨城県</v>
      </c>
      <c r="E42" s="49">
        <f ca="1">IFERROR(__xludf.DUMMYFUNCTION("""COMPUTED_VALUE"""),30)</f>
        <v>30</v>
      </c>
      <c r="F42" s="47" t="str">
        <f ca="1">IFERROR(__xludf.DUMMYFUNCTION("""COMPUTED_VALUE"""),"関東")</f>
        <v>関東</v>
      </c>
      <c r="G42" s="47"/>
      <c r="H42" s="47"/>
    </row>
    <row r="43" spans="1:8" ht="15.5">
      <c r="A43" s="2">
        <f ca="1">IFERROR(__xludf.DUMMYFUNCTION("""COMPUTED_VALUE"""),42)</f>
        <v>42</v>
      </c>
      <c r="B43" s="47" t="str">
        <f ca="1">IFERROR(__xludf.DUMMYFUNCTION("""COMPUTED_VALUE"""),"水戸かるた会")</f>
        <v>水戸かるた会</v>
      </c>
      <c r="C43" s="47" t="str">
        <f ca="1">IFERROR(__xludf.DUMMYFUNCTION("""COMPUTED_VALUE"""),"ミトカルタカイ")</f>
        <v>ミトカルタカイ</v>
      </c>
      <c r="D43" s="47" t="str">
        <f ca="1">IFERROR(__xludf.DUMMYFUNCTION("""COMPUTED_VALUE"""),"茨城県")</f>
        <v>茨城県</v>
      </c>
      <c r="E43" s="49">
        <f ca="1">IFERROR(__xludf.DUMMYFUNCTION("""COMPUTED_VALUE"""),31)</f>
        <v>31</v>
      </c>
      <c r="F43" s="47" t="str">
        <f ca="1">IFERROR(__xludf.DUMMYFUNCTION("""COMPUTED_VALUE"""),"関東")</f>
        <v>関東</v>
      </c>
      <c r="G43" s="47"/>
      <c r="H43" s="47"/>
    </row>
    <row r="44" spans="1:8" ht="15.5">
      <c r="A44" s="2">
        <f ca="1">IFERROR(__xludf.DUMMYFUNCTION("""COMPUTED_VALUE"""),43)</f>
        <v>43</v>
      </c>
      <c r="B44" s="47" t="str">
        <f ca="1">IFERROR(__xludf.DUMMYFUNCTION("""COMPUTED_VALUE"""),"沼崎かるた会")</f>
        <v>沼崎かるた会</v>
      </c>
      <c r="C44" s="47" t="str">
        <f ca="1">IFERROR(__xludf.DUMMYFUNCTION("""COMPUTED_VALUE"""),"ヌマザキカルタカイ")</f>
        <v>ヌマザキカルタカイ</v>
      </c>
      <c r="D44" s="47" t="str">
        <f ca="1">IFERROR(__xludf.DUMMYFUNCTION("""COMPUTED_VALUE"""),"茨城県")</f>
        <v>茨城県</v>
      </c>
      <c r="E44" s="49">
        <f ca="1">IFERROR(__xludf.DUMMYFUNCTION("""COMPUTED_VALUE"""),32)</f>
        <v>32</v>
      </c>
      <c r="F44" s="47" t="str">
        <f ca="1">IFERROR(__xludf.DUMMYFUNCTION("""COMPUTED_VALUE"""),"関東")</f>
        <v>関東</v>
      </c>
      <c r="G44" s="47"/>
      <c r="H44" s="47"/>
    </row>
    <row r="45" spans="1:8" ht="15.5">
      <c r="A45" s="2">
        <f ca="1">IFERROR(__xludf.DUMMYFUNCTION("""COMPUTED_VALUE"""),44)</f>
        <v>44</v>
      </c>
      <c r="B45" s="47" t="str">
        <f ca="1">IFERROR(__xludf.DUMMYFUNCTION("""COMPUTED_VALUE"""),"筑波大学歌留多部")</f>
        <v>筑波大学歌留多部</v>
      </c>
      <c r="C45" s="47" t="str">
        <f ca="1">IFERROR(__xludf.DUMMYFUNCTION("""COMPUTED_VALUE"""),"ツクバダイガクカルタブ")</f>
        <v>ツクバダイガクカルタブ</v>
      </c>
      <c r="D45" s="47" t="str">
        <f ca="1">IFERROR(__xludf.DUMMYFUNCTION("""COMPUTED_VALUE"""),"茨城県")</f>
        <v>茨城県</v>
      </c>
      <c r="E45" s="49">
        <f ca="1">IFERROR(__xludf.DUMMYFUNCTION("""COMPUTED_VALUE"""),33)</f>
        <v>33</v>
      </c>
      <c r="F45" s="47" t="str">
        <f ca="1">IFERROR(__xludf.DUMMYFUNCTION("""COMPUTED_VALUE"""),"関東")</f>
        <v>関東</v>
      </c>
      <c r="G45" s="47"/>
      <c r="H45" s="47"/>
    </row>
    <row r="46" spans="1:8" ht="15.5">
      <c r="A46" s="2">
        <f ca="1">IFERROR(__xludf.DUMMYFUNCTION("""COMPUTED_VALUE"""),45)</f>
        <v>45</v>
      </c>
      <c r="B46" s="47" t="str">
        <f ca="1">IFERROR(__xludf.DUMMYFUNCTION("""COMPUTED_VALUE"""),"茨城中高かるた会")</f>
        <v>茨城中高かるた会</v>
      </c>
      <c r="C46" s="47" t="str">
        <f ca="1">IFERROR(__xludf.DUMMYFUNCTION("""COMPUTED_VALUE"""),"イバラキチュウコウカルタカイ")</f>
        <v>イバラキチュウコウカルタカイ</v>
      </c>
      <c r="D46" s="47" t="str">
        <f ca="1">IFERROR(__xludf.DUMMYFUNCTION("""COMPUTED_VALUE"""),"茨城県")</f>
        <v>茨城県</v>
      </c>
      <c r="E46" s="49">
        <f ca="1">IFERROR(__xludf.DUMMYFUNCTION("""COMPUTED_VALUE"""),34)</f>
        <v>34</v>
      </c>
      <c r="F46" s="47" t="str">
        <f ca="1">IFERROR(__xludf.DUMMYFUNCTION("""COMPUTED_VALUE"""),"関東")</f>
        <v>関東</v>
      </c>
      <c r="G46" s="47"/>
      <c r="H46" s="47"/>
    </row>
    <row r="47" spans="1:8" ht="15.5">
      <c r="A47" s="2">
        <f ca="1">IFERROR(__xludf.DUMMYFUNCTION("""COMPUTED_VALUE"""),46)</f>
        <v>46</v>
      </c>
      <c r="B47" s="47" t="str">
        <f ca="1">IFERROR(__xludf.DUMMYFUNCTION("""COMPUTED_VALUE"""),"茨城大学競技かるた会")</f>
        <v>茨城大学競技かるた会</v>
      </c>
      <c r="C47" s="47" t="str">
        <f ca="1">IFERROR(__xludf.DUMMYFUNCTION("""COMPUTED_VALUE"""),"イバラキダイガクキョウギカルタカイ")</f>
        <v>イバラキダイガクキョウギカルタカイ</v>
      </c>
      <c r="D47" s="47" t="str">
        <f ca="1">IFERROR(__xludf.DUMMYFUNCTION("""COMPUTED_VALUE"""),"茨城県")</f>
        <v>茨城県</v>
      </c>
      <c r="E47" s="49">
        <f ca="1">IFERROR(__xludf.DUMMYFUNCTION("""COMPUTED_VALUE"""),35)</f>
        <v>35</v>
      </c>
      <c r="F47" s="47" t="str">
        <f ca="1">IFERROR(__xludf.DUMMYFUNCTION("""COMPUTED_VALUE"""),"関東")</f>
        <v>関東</v>
      </c>
      <c r="G47" s="47"/>
      <c r="H47" s="47"/>
    </row>
    <row r="48" spans="1:8" ht="15.5">
      <c r="A48" s="2">
        <f ca="1">IFERROR(__xludf.DUMMYFUNCTION("""COMPUTED_VALUE"""),47)</f>
        <v>47</v>
      </c>
      <c r="B48" s="47" t="str">
        <f ca="1">IFERROR(__xludf.DUMMYFUNCTION("""COMPUTED_VALUE"""),"茨城県高等学校文化連盟")</f>
        <v>茨城県高等学校文化連盟</v>
      </c>
      <c r="C48" s="47" t="str">
        <f ca="1">IFERROR(__xludf.DUMMYFUNCTION("""COMPUTED_VALUE"""),"イバラキケンコウトウガッコウブンカレンメイ")</f>
        <v>イバラキケンコウトウガッコウブンカレンメイ</v>
      </c>
      <c r="D48" s="47" t="str">
        <f ca="1">IFERROR(__xludf.DUMMYFUNCTION("""COMPUTED_VALUE"""),"茨城県")</f>
        <v>茨城県</v>
      </c>
      <c r="E48" s="49">
        <f ca="1">IFERROR(__xludf.DUMMYFUNCTION("""COMPUTED_VALUE"""),36)</f>
        <v>36</v>
      </c>
      <c r="F48" s="47" t="str">
        <f ca="1">IFERROR(__xludf.DUMMYFUNCTION("""COMPUTED_VALUE"""),"関東")</f>
        <v>関東</v>
      </c>
      <c r="G48" s="47"/>
      <c r="H48" s="47"/>
    </row>
    <row r="49" spans="1:8" ht="15.5">
      <c r="A49" s="2">
        <f ca="1">IFERROR(__xludf.DUMMYFUNCTION("""COMPUTED_VALUE"""),48)</f>
        <v>48</v>
      </c>
      <c r="B49" s="47" t="str">
        <f ca="1">IFERROR(__xludf.DUMMYFUNCTION("""COMPUTED_VALUE"""),"宇都宮かるた会")</f>
        <v>宇都宮かるた会</v>
      </c>
      <c r="C49" s="47" t="str">
        <f ca="1">IFERROR(__xludf.DUMMYFUNCTION("""COMPUTED_VALUE"""),"ウツノミヤカルタカイ")</f>
        <v>ウツノミヤカルタカイ</v>
      </c>
      <c r="D49" s="47" t="str">
        <f ca="1">IFERROR(__xludf.DUMMYFUNCTION("""COMPUTED_VALUE"""),"栃木県")</f>
        <v>栃木県</v>
      </c>
      <c r="E49" s="49">
        <f ca="1">IFERROR(__xludf.DUMMYFUNCTION("""COMPUTED_VALUE"""),37)</f>
        <v>37</v>
      </c>
      <c r="F49" s="47" t="str">
        <f ca="1">IFERROR(__xludf.DUMMYFUNCTION("""COMPUTED_VALUE"""),"関東")</f>
        <v>関東</v>
      </c>
      <c r="G49" s="47"/>
      <c r="H49" s="47"/>
    </row>
    <row r="50" spans="1:8" ht="15.5">
      <c r="A50" s="2">
        <f ca="1">IFERROR(__xludf.DUMMYFUNCTION("""COMPUTED_VALUE"""),49)</f>
        <v>49</v>
      </c>
      <c r="B50" s="47" t="str">
        <f ca="1">IFERROR(__xludf.DUMMYFUNCTION("""COMPUTED_VALUE"""),"宇都宮大学かるた会")</f>
        <v>宇都宮大学かるた会</v>
      </c>
      <c r="C50" s="47" t="str">
        <f ca="1">IFERROR(__xludf.DUMMYFUNCTION("""COMPUTED_VALUE"""),"ウツノミヤダイガクカルタカイ")</f>
        <v>ウツノミヤダイガクカルタカイ</v>
      </c>
      <c r="D50" s="47" t="str">
        <f ca="1">IFERROR(__xludf.DUMMYFUNCTION("""COMPUTED_VALUE"""),"栃木県")</f>
        <v>栃木県</v>
      </c>
      <c r="E50" s="49">
        <f ca="1">IFERROR(__xludf.DUMMYFUNCTION("""COMPUTED_VALUE"""),38)</f>
        <v>38</v>
      </c>
      <c r="F50" s="47" t="str">
        <f ca="1">IFERROR(__xludf.DUMMYFUNCTION("""COMPUTED_VALUE"""),"関東")</f>
        <v>関東</v>
      </c>
      <c r="G50" s="47"/>
      <c r="H50" s="47"/>
    </row>
    <row r="51" spans="1:8" ht="15.5">
      <c r="A51" s="2">
        <f ca="1">IFERROR(__xludf.DUMMYFUNCTION("""COMPUTED_VALUE"""),50)</f>
        <v>50</v>
      </c>
      <c r="B51" s="47" t="str">
        <f ca="1">IFERROR(__xludf.DUMMYFUNCTION("""COMPUTED_VALUE"""),"小山かるた会")</f>
        <v>小山かるた会</v>
      </c>
      <c r="C51" s="47" t="str">
        <f ca="1">IFERROR(__xludf.DUMMYFUNCTION("""COMPUTED_VALUE"""),"オヤマカルタカイ")</f>
        <v>オヤマカルタカイ</v>
      </c>
      <c r="D51" s="47" t="str">
        <f ca="1">IFERROR(__xludf.DUMMYFUNCTION("""COMPUTED_VALUE"""),"栃木県")</f>
        <v>栃木県</v>
      </c>
      <c r="E51" s="49">
        <f ca="1">IFERROR(__xludf.DUMMYFUNCTION("""COMPUTED_VALUE"""),39)</f>
        <v>39</v>
      </c>
      <c r="F51" s="47" t="str">
        <f ca="1">IFERROR(__xludf.DUMMYFUNCTION("""COMPUTED_VALUE"""),"関東")</f>
        <v>関東</v>
      </c>
      <c r="G51" s="47"/>
      <c r="H51" s="47"/>
    </row>
    <row r="52" spans="1:8" ht="15.5">
      <c r="A52" s="2">
        <f ca="1">IFERROR(__xludf.DUMMYFUNCTION("""COMPUTED_VALUE"""),51)</f>
        <v>51</v>
      </c>
      <c r="B52" s="47" t="str">
        <f ca="1">IFERROR(__xludf.DUMMYFUNCTION("""COMPUTED_VALUE"""),"栃木県高等学校文化連盟")</f>
        <v>栃木県高等学校文化連盟</v>
      </c>
      <c r="C52" s="47" t="str">
        <f ca="1">IFERROR(__xludf.DUMMYFUNCTION("""COMPUTED_VALUE"""),"トチギケンコウトウガッコウブンカレンメイ")</f>
        <v>トチギケンコウトウガッコウブンカレンメイ</v>
      </c>
      <c r="D52" s="47" t="str">
        <f ca="1">IFERROR(__xludf.DUMMYFUNCTION("""COMPUTED_VALUE"""),"栃木県")</f>
        <v>栃木県</v>
      </c>
      <c r="E52" s="49">
        <f ca="1">IFERROR(__xludf.DUMMYFUNCTION("""COMPUTED_VALUE"""),40)</f>
        <v>40</v>
      </c>
      <c r="F52" s="47" t="str">
        <f ca="1">IFERROR(__xludf.DUMMYFUNCTION("""COMPUTED_VALUE"""),"関東")</f>
        <v>関東</v>
      </c>
      <c r="G52" s="47"/>
      <c r="H52" s="47"/>
    </row>
    <row r="53" spans="1:8" ht="15.5">
      <c r="A53" s="2">
        <f ca="1">IFERROR(__xludf.DUMMYFUNCTION("""COMPUTED_VALUE"""),52)</f>
        <v>52</v>
      </c>
      <c r="B53" s="47" t="str">
        <f ca="1">IFERROR(__xludf.DUMMYFUNCTION("""COMPUTED_VALUE"""),"清林寺かるた会")</f>
        <v>清林寺かるた会</v>
      </c>
      <c r="C53" s="47" t="str">
        <f ca="1">IFERROR(__xludf.DUMMYFUNCTION("""COMPUTED_VALUE"""),"セイリンジカルタカイ")</f>
        <v>セイリンジカルタカイ</v>
      </c>
      <c r="D53" s="47" t="str">
        <f ca="1">IFERROR(__xludf.DUMMYFUNCTION("""COMPUTED_VALUE"""),"栃木県")</f>
        <v>栃木県</v>
      </c>
      <c r="E53" s="49">
        <f ca="1">IFERROR(__xludf.DUMMYFUNCTION("""COMPUTED_VALUE"""),41)</f>
        <v>41</v>
      </c>
      <c r="F53" s="47" t="str">
        <f ca="1">IFERROR(__xludf.DUMMYFUNCTION("""COMPUTED_VALUE"""),"関東")</f>
        <v>関東</v>
      </c>
      <c r="G53" s="47"/>
      <c r="H53" s="47"/>
    </row>
    <row r="54" spans="1:8" ht="15.5">
      <c r="A54" s="2">
        <f ca="1">IFERROR(__xludf.DUMMYFUNCTION("""COMPUTED_VALUE"""),53)</f>
        <v>53</v>
      </c>
      <c r="B54" s="47" t="str">
        <f ca="1">IFERROR(__xludf.DUMMYFUNCTION("""COMPUTED_VALUE"""),"足利百人一首の会")</f>
        <v>足利百人一首の会</v>
      </c>
      <c r="C54" s="47" t="str">
        <f ca="1">IFERROR(__xludf.DUMMYFUNCTION("""COMPUTED_VALUE"""),"アシカガヒャクニンイッシュノカイ")</f>
        <v>アシカガヒャクニンイッシュノカイ</v>
      </c>
      <c r="D54" s="47" t="str">
        <f ca="1">IFERROR(__xludf.DUMMYFUNCTION("""COMPUTED_VALUE"""),"栃木県")</f>
        <v>栃木県</v>
      </c>
      <c r="E54" s="49">
        <f ca="1">IFERROR(__xludf.DUMMYFUNCTION("""COMPUTED_VALUE"""),42)</f>
        <v>42</v>
      </c>
      <c r="F54" s="47" t="str">
        <f ca="1">IFERROR(__xludf.DUMMYFUNCTION("""COMPUTED_VALUE"""),"関東")</f>
        <v>関東</v>
      </c>
      <c r="G54" s="47"/>
      <c r="H54" s="47"/>
    </row>
    <row r="55" spans="1:8" ht="15.5">
      <c r="A55" s="2">
        <f ca="1">IFERROR(__xludf.DUMMYFUNCTION("""COMPUTED_VALUE"""),54)</f>
        <v>54</v>
      </c>
      <c r="B55" s="47" t="str">
        <f ca="1">IFERROR(__xludf.DUMMYFUNCTION("""COMPUTED_VALUE"""),"那須かるた会")</f>
        <v>那須かるた会</v>
      </c>
      <c r="C55" s="47" t="str">
        <f ca="1">IFERROR(__xludf.DUMMYFUNCTION("""COMPUTED_VALUE"""),"ナスカルタカイ")</f>
        <v>ナスカルタカイ</v>
      </c>
      <c r="D55" s="47" t="str">
        <f ca="1">IFERROR(__xludf.DUMMYFUNCTION("""COMPUTED_VALUE"""),"栃木県")</f>
        <v>栃木県</v>
      </c>
      <c r="E55" s="49">
        <f ca="1">IFERROR(__xludf.DUMMYFUNCTION("""COMPUTED_VALUE"""),43)</f>
        <v>43</v>
      </c>
      <c r="F55" s="47" t="str">
        <f ca="1">IFERROR(__xludf.DUMMYFUNCTION("""COMPUTED_VALUE"""),"関東")</f>
        <v>関東</v>
      </c>
      <c r="G55" s="47"/>
      <c r="H55" s="47"/>
    </row>
    <row r="56" spans="1:8" ht="15.5">
      <c r="A56" s="2">
        <f ca="1">IFERROR(__xludf.DUMMYFUNCTION("""COMPUTED_VALUE"""),55)</f>
        <v>55</v>
      </c>
      <c r="B56" s="47" t="str">
        <f ca="1">IFERROR(__xludf.DUMMYFUNCTION("""COMPUTED_VALUE"""),"黒磯いぶき会")</f>
        <v>黒磯いぶき会</v>
      </c>
      <c r="C56" s="47" t="str">
        <f ca="1">IFERROR(__xludf.DUMMYFUNCTION("""COMPUTED_VALUE"""),"クロイソイブキカイ")</f>
        <v>クロイソイブキカイ</v>
      </c>
      <c r="D56" s="47" t="str">
        <f ca="1">IFERROR(__xludf.DUMMYFUNCTION("""COMPUTED_VALUE"""),"栃木県")</f>
        <v>栃木県</v>
      </c>
      <c r="E56" s="49">
        <f ca="1">IFERROR(__xludf.DUMMYFUNCTION("""COMPUTED_VALUE"""),44)</f>
        <v>44</v>
      </c>
      <c r="F56" s="47" t="str">
        <f ca="1">IFERROR(__xludf.DUMMYFUNCTION("""COMPUTED_VALUE"""),"関東")</f>
        <v>関東</v>
      </c>
      <c r="G56" s="47"/>
      <c r="H56" s="47"/>
    </row>
    <row r="57" spans="1:8" ht="15.5">
      <c r="A57" s="2">
        <f ca="1">IFERROR(__xludf.DUMMYFUNCTION("""COMPUTED_VALUE"""),56)</f>
        <v>56</v>
      </c>
      <c r="B57" s="47" t="str">
        <f ca="1">IFERROR(__xludf.DUMMYFUNCTION("""COMPUTED_VALUE"""),"前橋かるた会")</f>
        <v>前橋かるた会</v>
      </c>
      <c r="C57" s="47" t="str">
        <f ca="1">IFERROR(__xludf.DUMMYFUNCTION("""COMPUTED_VALUE"""),"マエバシカルタカイ")</f>
        <v>マエバシカルタカイ</v>
      </c>
      <c r="D57" s="47" t="str">
        <f ca="1">IFERROR(__xludf.DUMMYFUNCTION("""COMPUTED_VALUE"""),"群馬県")</f>
        <v>群馬県</v>
      </c>
      <c r="E57" s="49">
        <f ca="1">IFERROR(__xludf.DUMMYFUNCTION("""COMPUTED_VALUE"""),45)</f>
        <v>45</v>
      </c>
      <c r="F57" s="47" t="str">
        <f ca="1">IFERROR(__xludf.DUMMYFUNCTION("""COMPUTED_VALUE"""),"関東")</f>
        <v>関東</v>
      </c>
      <c r="G57" s="47"/>
      <c r="H57" s="47"/>
    </row>
    <row r="58" spans="1:8" ht="15.5">
      <c r="A58" s="2">
        <f ca="1">IFERROR(__xludf.DUMMYFUNCTION("""COMPUTED_VALUE"""),57)</f>
        <v>57</v>
      </c>
      <c r="B58" s="47" t="str">
        <f ca="1">IFERROR(__xludf.DUMMYFUNCTION("""COMPUTED_VALUE"""),"新田かるた会")</f>
        <v>新田かるた会</v>
      </c>
      <c r="C58" s="47" t="str">
        <f ca="1">IFERROR(__xludf.DUMMYFUNCTION("""COMPUTED_VALUE"""),"ニッタカルタカイ")</f>
        <v>ニッタカルタカイ</v>
      </c>
      <c r="D58" s="47" t="str">
        <f ca="1">IFERROR(__xludf.DUMMYFUNCTION("""COMPUTED_VALUE"""),"群馬県")</f>
        <v>群馬県</v>
      </c>
      <c r="E58" s="49">
        <f ca="1">IFERROR(__xludf.DUMMYFUNCTION("""COMPUTED_VALUE"""),46)</f>
        <v>46</v>
      </c>
      <c r="F58" s="47" t="str">
        <f ca="1">IFERROR(__xludf.DUMMYFUNCTION("""COMPUTED_VALUE"""),"関東")</f>
        <v>関東</v>
      </c>
      <c r="G58" s="47"/>
      <c r="H58" s="47"/>
    </row>
    <row r="59" spans="1:8" ht="15.5">
      <c r="A59" s="2">
        <f ca="1">IFERROR(__xludf.DUMMYFUNCTION("""COMPUTED_VALUE"""),58)</f>
        <v>58</v>
      </c>
      <c r="B59" s="47" t="str">
        <f ca="1">IFERROR(__xludf.DUMMYFUNCTION("""COMPUTED_VALUE"""),"群馬大学かるた会")</f>
        <v>群馬大学かるた会</v>
      </c>
      <c r="C59" s="47" t="str">
        <f ca="1">IFERROR(__xludf.DUMMYFUNCTION("""COMPUTED_VALUE"""),"グンマダイガクカルタカイ")</f>
        <v>グンマダイガクカルタカイ</v>
      </c>
      <c r="D59" s="47" t="str">
        <f ca="1">IFERROR(__xludf.DUMMYFUNCTION("""COMPUTED_VALUE"""),"群馬県")</f>
        <v>群馬県</v>
      </c>
      <c r="E59" s="49">
        <f ca="1">IFERROR(__xludf.DUMMYFUNCTION("""COMPUTED_VALUE"""),47)</f>
        <v>47</v>
      </c>
      <c r="F59" s="47" t="str">
        <f ca="1">IFERROR(__xludf.DUMMYFUNCTION("""COMPUTED_VALUE"""),"関東")</f>
        <v>関東</v>
      </c>
      <c r="G59" s="47"/>
      <c r="H59" s="47"/>
    </row>
    <row r="60" spans="1:8" ht="15.5">
      <c r="A60" s="2">
        <f ca="1">IFERROR(__xludf.DUMMYFUNCTION("""COMPUTED_VALUE"""),59)</f>
        <v>59</v>
      </c>
      <c r="B60" s="47" t="str">
        <f ca="1">IFERROR(__xludf.DUMMYFUNCTION("""COMPUTED_VALUE"""),"群馬県高等学校文化連盟")</f>
        <v>群馬県高等学校文化連盟</v>
      </c>
      <c r="C60" s="47" t="str">
        <f ca="1">IFERROR(__xludf.DUMMYFUNCTION("""COMPUTED_VALUE"""),"グンマケンコウトウガッコウブンカレンメイ")</f>
        <v>グンマケンコウトウガッコウブンカレンメイ</v>
      </c>
      <c r="D60" s="47" t="str">
        <f ca="1">IFERROR(__xludf.DUMMYFUNCTION("""COMPUTED_VALUE"""),"群馬県")</f>
        <v>群馬県</v>
      </c>
      <c r="E60" s="49">
        <f ca="1">IFERROR(__xludf.DUMMYFUNCTION("""COMPUTED_VALUE"""),48)</f>
        <v>48</v>
      </c>
      <c r="F60" s="47" t="str">
        <f ca="1">IFERROR(__xludf.DUMMYFUNCTION("""COMPUTED_VALUE"""),"関東")</f>
        <v>関東</v>
      </c>
      <c r="G60" s="47"/>
      <c r="H60" s="47"/>
    </row>
    <row r="61" spans="1:8" ht="15.5">
      <c r="A61" s="2">
        <f ca="1">IFERROR(__xludf.DUMMYFUNCTION("""COMPUTED_VALUE"""),60)</f>
        <v>60</v>
      </c>
      <c r="B61" s="47" t="str">
        <f ca="1">IFERROR(__xludf.DUMMYFUNCTION("""COMPUTED_VALUE"""),"高崎かるた会")</f>
        <v>高崎かるた会</v>
      </c>
      <c r="C61" s="47" t="str">
        <f ca="1">IFERROR(__xludf.DUMMYFUNCTION("""COMPUTED_VALUE"""),"タカサキカルタカイ")</f>
        <v>タカサキカルタカイ</v>
      </c>
      <c r="D61" s="47" t="str">
        <f ca="1">IFERROR(__xludf.DUMMYFUNCTION("""COMPUTED_VALUE"""),"群馬県")</f>
        <v>群馬県</v>
      </c>
      <c r="E61" s="49">
        <f ca="1">IFERROR(__xludf.DUMMYFUNCTION("""COMPUTED_VALUE"""),49)</f>
        <v>49</v>
      </c>
      <c r="F61" s="47" t="str">
        <f ca="1">IFERROR(__xludf.DUMMYFUNCTION("""COMPUTED_VALUE"""),"関東")</f>
        <v>関東</v>
      </c>
      <c r="G61" s="47"/>
      <c r="H61" s="47"/>
    </row>
    <row r="62" spans="1:8" ht="15.5">
      <c r="A62" s="2">
        <f ca="1">IFERROR(__xludf.DUMMYFUNCTION("""COMPUTED_VALUE"""),61)</f>
        <v>61</v>
      </c>
      <c r="B62" s="47" t="str">
        <f ca="1">IFERROR(__xludf.DUMMYFUNCTION("""COMPUTED_VALUE"""),"あけのほし")</f>
        <v>あけのほし</v>
      </c>
      <c r="C62" s="47" t="str">
        <f ca="1">IFERROR(__xludf.DUMMYFUNCTION("""COMPUTED_VALUE"""),"アケノホシ")</f>
        <v>アケノホシ</v>
      </c>
      <c r="D62" s="47" t="str">
        <f ca="1">IFERROR(__xludf.DUMMYFUNCTION("""COMPUTED_VALUE"""),"埼玉県")</f>
        <v>埼玉県</v>
      </c>
      <c r="E62" s="49">
        <f ca="1">IFERROR(__xludf.DUMMYFUNCTION("""COMPUTED_VALUE"""),50)</f>
        <v>50</v>
      </c>
      <c r="F62" s="47" t="str">
        <f ca="1">IFERROR(__xludf.DUMMYFUNCTION("""COMPUTED_VALUE"""),"関東")</f>
        <v>関東</v>
      </c>
      <c r="G62" s="47"/>
      <c r="H62" s="47"/>
    </row>
    <row r="63" spans="1:8" ht="15.5">
      <c r="A63" s="2">
        <f ca="1">IFERROR(__xludf.DUMMYFUNCTION("""COMPUTED_VALUE"""),62)</f>
        <v>62</v>
      </c>
      <c r="B63" s="47" t="str">
        <f ca="1">IFERROR(__xludf.DUMMYFUNCTION("""COMPUTED_VALUE"""),"けやきスクエア")</f>
        <v>けやきスクエア</v>
      </c>
      <c r="C63" s="47" t="str">
        <f ca="1">IFERROR(__xludf.DUMMYFUNCTION("""COMPUTED_VALUE"""),"ケヤキスクエア")</f>
        <v>ケヤキスクエア</v>
      </c>
      <c r="D63" s="47" t="str">
        <f ca="1">IFERROR(__xludf.DUMMYFUNCTION("""COMPUTED_VALUE"""),"埼玉県")</f>
        <v>埼玉県</v>
      </c>
      <c r="E63" s="49">
        <f ca="1">IFERROR(__xludf.DUMMYFUNCTION("""COMPUTED_VALUE"""),51)</f>
        <v>51</v>
      </c>
      <c r="F63" s="47" t="str">
        <f ca="1">IFERROR(__xludf.DUMMYFUNCTION("""COMPUTED_VALUE"""),"関東")</f>
        <v>関東</v>
      </c>
      <c r="G63" s="47"/>
      <c r="H63" s="47"/>
    </row>
    <row r="64" spans="1:8" ht="15.5">
      <c r="A64" s="2">
        <f ca="1">IFERROR(__xludf.DUMMYFUNCTION("""COMPUTED_VALUE"""),63)</f>
        <v>63</v>
      </c>
      <c r="B64" s="47" t="str">
        <f ca="1">IFERROR(__xludf.DUMMYFUNCTION("""COMPUTED_VALUE"""),"ちはやふる富士見")</f>
        <v>ちはやふる富士見</v>
      </c>
      <c r="C64" s="47" t="str">
        <f ca="1">IFERROR(__xludf.DUMMYFUNCTION("""COMPUTED_VALUE"""),"チハヤフルフジミ")</f>
        <v>チハヤフルフジミ</v>
      </c>
      <c r="D64" s="47" t="str">
        <f ca="1">IFERROR(__xludf.DUMMYFUNCTION("""COMPUTED_VALUE"""),"埼玉県")</f>
        <v>埼玉県</v>
      </c>
      <c r="E64" s="49">
        <f ca="1">IFERROR(__xludf.DUMMYFUNCTION("""COMPUTED_VALUE"""),52)</f>
        <v>52</v>
      </c>
      <c r="F64" s="47" t="str">
        <f ca="1">IFERROR(__xludf.DUMMYFUNCTION("""COMPUTED_VALUE"""),"関東")</f>
        <v>関東</v>
      </c>
      <c r="G64" s="47"/>
      <c r="H64" s="47"/>
    </row>
    <row r="65" spans="1:8" ht="15.5">
      <c r="A65" s="2">
        <f ca="1">IFERROR(__xludf.DUMMYFUNCTION("""COMPUTED_VALUE"""),64)</f>
        <v>64</v>
      </c>
      <c r="B65" s="47" t="str">
        <f ca="1">IFERROR(__xludf.DUMMYFUNCTION("""COMPUTED_VALUE"""),"埼玉むさしの会")</f>
        <v>埼玉むさしの会</v>
      </c>
      <c r="C65" s="47" t="str">
        <f ca="1">IFERROR(__xludf.DUMMYFUNCTION("""COMPUTED_VALUE"""),"サイタマムサシノカイ")</f>
        <v>サイタマムサシノカイ</v>
      </c>
      <c r="D65" s="47" t="str">
        <f ca="1">IFERROR(__xludf.DUMMYFUNCTION("""COMPUTED_VALUE"""),"埼玉県")</f>
        <v>埼玉県</v>
      </c>
      <c r="E65" s="49">
        <f ca="1">IFERROR(__xludf.DUMMYFUNCTION("""COMPUTED_VALUE"""),53)</f>
        <v>53</v>
      </c>
      <c r="F65" s="47" t="str">
        <f ca="1">IFERROR(__xludf.DUMMYFUNCTION("""COMPUTED_VALUE"""),"関東")</f>
        <v>関東</v>
      </c>
      <c r="G65" s="47"/>
      <c r="H65" s="47"/>
    </row>
    <row r="66" spans="1:8" ht="15.5">
      <c r="A66" s="2">
        <f ca="1">IFERROR(__xludf.DUMMYFUNCTION("""COMPUTED_VALUE"""),65)</f>
        <v>65</v>
      </c>
      <c r="B66" s="47" t="str">
        <f ca="1">IFERROR(__xludf.DUMMYFUNCTION("""COMPUTED_VALUE"""),"埼玉大学かるた会")</f>
        <v>埼玉大学かるた会</v>
      </c>
      <c r="C66" s="47" t="str">
        <f ca="1">IFERROR(__xludf.DUMMYFUNCTION("""COMPUTED_VALUE"""),"サイタマダイガクカルタカイ")</f>
        <v>サイタマダイガクカルタカイ</v>
      </c>
      <c r="D66" s="47" t="str">
        <f ca="1">IFERROR(__xludf.DUMMYFUNCTION("""COMPUTED_VALUE"""),"埼玉県")</f>
        <v>埼玉県</v>
      </c>
      <c r="E66" s="49">
        <f ca="1">IFERROR(__xludf.DUMMYFUNCTION("""COMPUTED_VALUE"""),54)</f>
        <v>54</v>
      </c>
      <c r="F66" s="47" t="str">
        <f ca="1">IFERROR(__xludf.DUMMYFUNCTION("""COMPUTED_VALUE"""),"関東")</f>
        <v>関東</v>
      </c>
      <c r="G66" s="47"/>
      <c r="H66" s="47"/>
    </row>
    <row r="67" spans="1:8" ht="15.5">
      <c r="A67" s="2">
        <f ca="1">IFERROR(__xludf.DUMMYFUNCTION("""COMPUTED_VALUE"""),66)</f>
        <v>66</v>
      </c>
      <c r="B67" s="47" t="str">
        <f ca="1">IFERROR(__xludf.DUMMYFUNCTION("""COMPUTED_VALUE"""),"埼玉県高等学校文化連盟")</f>
        <v>埼玉県高等学校文化連盟</v>
      </c>
      <c r="C67" s="47" t="str">
        <f ca="1">IFERROR(__xludf.DUMMYFUNCTION("""COMPUTED_VALUE"""),"サイタマケンコウトウガッコウブンカレンメイ")</f>
        <v>サイタマケンコウトウガッコウブンカレンメイ</v>
      </c>
      <c r="D67" s="47" t="str">
        <f ca="1">IFERROR(__xludf.DUMMYFUNCTION("""COMPUTED_VALUE"""),"埼玉県")</f>
        <v>埼玉県</v>
      </c>
      <c r="E67" s="49">
        <f ca="1">IFERROR(__xludf.DUMMYFUNCTION("""COMPUTED_VALUE"""),55)</f>
        <v>55</v>
      </c>
      <c r="F67" s="47" t="str">
        <f ca="1">IFERROR(__xludf.DUMMYFUNCTION("""COMPUTED_VALUE"""),"関東")</f>
        <v>関東</v>
      </c>
      <c r="G67" s="47"/>
      <c r="H67" s="47"/>
    </row>
    <row r="68" spans="1:8" ht="15.5">
      <c r="A68" s="2">
        <f ca="1">IFERROR(__xludf.DUMMYFUNCTION("""COMPUTED_VALUE"""),67)</f>
        <v>67</v>
      </c>
      <c r="B68" s="47" t="str">
        <f ca="1">IFERROR(__xludf.DUMMYFUNCTION("""COMPUTED_VALUE"""),"大宮さくら会")</f>
        <v>大宮さくら会</v>
      </c>
      <c r="C68" s="47" t="str">
        <f ca="1">IFERROR(__xludf.DUMMYFUNCTION("""COMPUTED_VALUE"""),"オオミヤサクラカイ")</f>
        <v>オオミヤサクラカイ</v>
      </c>
      <c r="D68" s="47" t="str">
        <f ca="1">IFERROR(__xludf.DUMMYFUNCTION("""COMPUTED_VALUE"""),"埼玉県")</f>
        <v>埼玉県</v>
      </c>
      <c r="E68" s="49">
        <f ca="1">IFERROR(__xludf.DUMMYFUNCTION("""COMPUTED_VALUE"""),56)</f>
        <v>56</v>
      </c>
      <c r="F68" s="47" t="str">
        <f ca="1">IFERROR(__xludf.DUMMYFUNCTION("""COMPUTED_VALUE"""),"関東")</f>
        <v>関東</v>
      </c>
      <c r="G68" s="47"/>
      <c r="H68" s="47"/>
    </row>
    <row r="69" spans="1:8" ht="15.5">
      <c r="A69" s="2">
        <f ca="1">IFERROR(__xludf.DUMMYFUNCTION("""COMPUTED_VALUE"""),68)</f>
        <v>68</v>
      </c>
      <c r="B69" s="47" t="str">
        <f ca="1">IFERROR(__xludf.DUMMYFUNCTION("""COMPUTED_VALUE"""),"彩雲かるた会")</f>
        <v>彩雲かるた会</v>
      </c>
      <c r="C69" s="47" t="str">
        <f ca="1">IFERROR(__xludf.DUMMYFUNCTION("""COMPUTED_VALUE"""),"サイウンカルタカイ")</f>
        <v>サイウンカルタカイ</v>
      </c>
      <c r="D69" s="47" t="str">
        <f ca="1">IFERROR(__xludf.DUMMYFUNCTION("""COMPUTED_VALUE"""),"埼玉県")</f>
        <v>埼玉県</v>
      </c>
      <c r="E69" s="49">
        <f ca="1">IFERROR(__xludf.DUMMYFUNCTION("""COMPUTED_VALUE"""),57)</f>
        <v>57</v>
      </c>
      <c r="F69" s="47" t="str">
        <f ca="1">IFERROR(__xludf.DUMMYFUNCTION("""COMPUTED_VALUE"""),"関東")</f>
        <v>関東</v>
      </c>
      <c r="G69" s="47"/>
      <c r="H69" s="47"/>
    </row>
    <row r="70" spans="1:8" ht="15.5">
      <c r="A70" s="2">
        <f ca="1">IFERROR(__xludf.DUMMYFUNCTION("""COMPUTED_VALUE"""),69)</f>
        <v>69</v>
      </c>
      <c r="B70" s="47" t="str">
        <f ca="1">IFERROR(__xludf.DUMMYFUNCTION("""COMPUTED_VALUE"""),"日高クラブ")</f>
        <v>日高クラブ</v>
      </c>
      <c r="C70" s="47" t="str">
        <f ca="1">IFERROR(__xludf.DUMMYFUNCTION("""COMPUTED_VALUE"""),"ヒダカクラブ")</f>
        <v>ヒダカクラブ</v>
      </c>
      <c r="D70" s="47" t="str">
        <f ca="1">IFERROR(__xludf.DUMMYFUNCTION("""COMPUTED_VALUE"""),"埼玉県")</f>
        <v>埼玉県</v>
      </c>
      <c r="E70" s="49">
        <f ca="1">IFERROR(__xludf.DUMMYFUNCTION("""COMPUTED_VALUE"""),58)</f>
        <v>58</v>
      </c>
      <c r="F70" s="47" t="str">
        <f ca="1">IFERROR(__xludf.DUMMYFUNCTION("""COMPUTED_VALUE"""),"関東")</f>
        <v>関東</v>
      </c>
      <c r="G70" s="47"/>
      <c r="H70" s="47"/>
    </row>
    <row r="71" spans="1:8" ht="15.5">
      <c r="A71" s="2">
        <f ca="1">IFERROR(__xludf.DUMMYFUNCTION("""COMPUTED_VALUE"""),70)</f>
        <v>70</v>
      </c>
      <c r="B71" s="47" t="str">
        <f ca="1">IFERROR(__xludf.DUMMYFUNCTION("""COMPUTED_VALUE"""),"朝霞かるた会")</f>
        <v>朝霞かるた会</v>
      </c>
      <c r="C71" s="47" t="str">
        <f ca="1">IFERROR(__xludf.DUMMYFUNCTION("""COMPUTED_VALUE"""),"アサカカルタカイ")</f>
        <v>アサカカルタカイ</v>
      </c>
      <c r="D71" s="47" t="str">
        <f ca="1">IFERROR(__xludf.DUMMYFUNCTION("""COMPUTED_VALUE"""),"埼玉県")</f>
        <v>埼玉県</v>
      </c>
      <c r="E71" s="49">
        <f ca="1">IFERROR(__xludf.DUMMYFUNCTION("""COMPUTED_VALUE"""),59)</f>
        <v>59</v>
      </c>
      <c r="F71" s="47" t="str">
        <f ca="1">IFERROR(__xludf.DUMMYFUNCTION("""COMPUTED_VALUE"""),"関東")</f>
        <v>関東</v>
      </c>
      <c r="G71" s="47"/>
      <c r="H71" s="47"/>
    </row>
    <row r="72" spans="1:8" ht="15.5">
      <c r="A72" s="2">
        <f ca="1">IFERROR(__xludf.DUMMYFUNCTION("""COMPUTED_VALUE"""),71)</f>
        <v>71</v>
      </c>
      <c r="B72" s="47" t="str">
        <f ca="1">IFERROR(__xludf.DUMMYFUNCTION("""COMPUTED_VALUE"""),"獨協かるた会")</f>
        <v>獨協かるた会</v>
      </c>
      <c r="C72" s="47" t="str">
        <f ca="1">IFERROR(__xludf.DUMMYFUNCTION("""COMPUTED_VALUE"""),"ドッキョウカルタカイ")</f>
        <v>ドッキョウカルタカイ</v>
      </c>
      <c r="D72" s="47" t="str">
        <f ca="1">IFERROR(__xludf.DUMMYFUNCTION("""COMPUTED_VALUE"""),"埼玉県")</f>
        <v>埼玉県</v>
      </c>
      <c r="E72" s="49">
        <f ca="1">IFERROR(__xludf.DUMMYFUNCTION("""COMPUTED_VALUE"""),60)</f>
        <v>60</v>
      </c>
      <c r="F72" s="47" t="str">
        <f ca="1">IFERROR(__xludf.DUMMYFUNCTION("""COMPUTED_VALUE"""),"関東")</f>
        <v>関東</v>
      </c>
      <c r="G72" s="47"/>
      <c r="H72" s="47"/>
    </row>
    <row r="73" spans="1:8" ht="15.5">
      <c r="A73" s="2">
        <f ca="1">IFERROR(__xludf.DUMMYFUNCTION("""COMPUTED_VALUE"""),72)</f>
        <v>72</v>
      </c>
      <c r="B73" s="47" t="str">
        <f ca="1">IFERROR(__xludf.DUMMYFUNCTION("""COMPUTED_VALUE"""),"瀬をはやみ会")</f>
        <v>瀬をはやみ会</v>
      </c>
      <c r="C73" s="47" t="str">
        <f ca="1">IFERROR(__xludf.DUMMYFUNCTION("""COMPUTED_VALUE"""),"セヲハヤミカイ")</f>
        <v>セヲハヤミカイ</v>
      </c>
      <c r="D73" s="47" t="str">
        <f ca="1">IFERROR(__xludf.DUMMYFUNCTION("""COMPUTED_VALUE"""),"埼玉県")</f>
        <v>埼玉県</v>
      </c>
      <c r="E73" s="49">
        <f ca="1">IFERROR(__xludf.DUMMYFUNCTION("""COMPUTED_VALUE"""),61)</f>
        <v>61</v>
      </c>
      <c r="F73" s="47" t="str">
        <f ca="1">IFERROR(__xludf.DUMMYFUNCTION("""COMPUTED_VALUE"""),"関東")</f>
        <v>関東</v>
      </c>
      <c r="G73" s="47"/>
      <c r="H73" s="47"/>
    </row>
    <row r="74" spans="1:8" ht="15.5">
      <c r="A74" s="2">
        <f ca="1">IFERROR(__xludf.DUMMYFUNCTION("""COMPUTED_VALUE"""),73)</f>
        <v>73</v>
      </c>
      <c r="B74" s="47" t="str">
        <f ca="1">IFERROR(__xludf.DUMMYFUNCTION("""COMPUTED_VALUE"""),"千葉しらつゆ会")</f>
        <v>千葉しらつゆ会</v>
      </c>
      <c r="C74" s="47" t="str">
        <f ca="1">IFERROR(__xludf.DUMMYFUNCTION("""COMPUTED_VALUE"""),"チバシラツユカイ")</f>
        <v>チバシラツユカイ</v>
      </c>
      <c r="D74" s="47" t="str">
        <f ca="1">IFERROR(__xludf.DUMMYFUNCTION("""COMPUTED_VALUE"""),"千葉県")</f>
        <v>千葉県</v>
      </c>
      <c r="E74" s="49">
        <f ca="1">IFERROR(__xludf.DUMMYFUNCTION("""COMPUTED_VALUE"""),62)</f>
        <v>62</v>
      </c>
      <c r="F74" s="47" t="str">
        <f ca="1">IFERROR(__xludf.DUMMYFUNCTION("""COMPUTED_VALUE"""),"関東")</f>
        <v>関東</v>
      </c>
      <c r="G74" s="47"/>
      <c r="H74" s="47"/>
    </row>
    <row r="75" spans="1:8" ht="15.5">
      <c r="A75" s="2">
        <f ca="1">IFERROR(__xludf.DUMMYFUNCTION("""COMPUTED_VALUE"""),74)</f>
        <v>74</v>
      </c>
      <c r="B75" s="47" t="str">
        <f ca="1">IFERROR(__xludf.DUMMYFUNCTION("""COMPUTED_VALUE"""),"千葉大学かるた会")</f>
        <v>千葉大学かるた会</v>
      </c>
      <c r="C75" s="47" t="str">
        <f ca="1">IFERROR(__xludf.DUMMYFUNCTION("""COMPUTED_VALUE"""),"チバダイガクカルタカイ")</f>
        <v>チバダイガクカルタカイ</v>
      </c>
      <c r="D75" s="47" t="str">
        <f ca="1">IFERROR(__xludf.DUMMYFUNCTION("""COMPUTED_VALUE"""),"千葉県")</f>
        <v>千葉県</v>
      </c>
      <c r="E75" s="49">
        <f ca="1">IFERROR(__xludf.DUMMYFUNCTION("""COMPUTED_VALUE"""),63)</f>
        <v>63</v>
      </c>
      <c r="F75" s="47" t="str">
        <f ca="1">IFERROR(__xludf.DUMMYFUNCTION("""COMPUTED_VALUE"""),"関東")</f>
        <v>関東</v>
      </c>
      <c r="G75" s="47"/>
      <c r="H75" s="47"/>
    </row>
    <row r="76" spans="1:8" ht="15.5">
      <c r="A76" s="2">
        <f ca="1">IFERROR(__xludf.DUMMYFUNCTION("""COMPUTED_VALUE"""),75)</f>
        <v>75</v>
      </c>
      <c r="B76" s="47" t="str">
        <f ca="1">IFERROR(__xludf.DUMMYFUNCTION("""COMPUTED_VALUE"""),"千葉漣かるた会")</f>
        <v>千葉漣かるた会</v>
      </c>
      <c r="C76" s="47" t="str">
        <f ca="1">IFERROR(__xludf.DUMMYFUNCTION("""COMPUTED_VALUE"""),"チバサザナミカルタカイ")</f>
        <v>チバサザナミカルタカイ</v>
      </c>
      <c r="D76" s="47" t="str">
        <f ca="1">IFERROR(__xludf.DUMMYFUNCTION("""COMPUTED_VALUE"""),"千葉県")</f>
        <v>千葉県</v>
      </c>
      <c r="E76" s="49">
        <f ca="1">IFERROR(__xludf.DUMMYFUNCTION("""COMPUTED_VALUE"""),64)</f>
        <v>64</v>
      </c>
      <c r="F76" s="47" t="str">
        <f ca="1">IFERROR(__xludf.DUMMYFUNCTION("""COMPUTED_VALUE"""),"関東")</f>
        <v>関東</v>
      </c>
      <c r="G76" s="47"/>
      <c r="H76" s="47"/>
    </row>
    <row r="77" spans="1:8" ht="15.5">
      <c r="A77" s="2">
        <f ca="1">IFERROR(__xludf.DUMMYFUNCTION("""COMPUTED_VALUE"""),76)</f>
        <v>76</v>
      </c>
      <c r="B77" s="47" t="str">
        <f ca="1">IFERROR(__xludf.DUMMYFUNCTION("""COMPUTED_VALUE"""),"千葉県かるた協会")</f>
        <v>千葉県かるた協会</v>
      </c>
      <c r="C77" s="47" t="str">
        <f ca="1">IFERROR(__xludf.DUMMYFUNCTION("""COMPUTED_VALUE"""),"チバケンカルタキョウカイ")</f>
        <v>チバケンカルタキョウカイ</v>
      </c>
      <c r="D77" s="47" t="str">
        <f ca="1">IFERROR(__xludf.DUMMYFUNCTION("""COMPUTED_VALUE"""),"千葉県")</f>
        <v>千葉県</v>
      </c>
      <c r="E77" s="49">
        <f ca="1">IFERROR(__xludf.DUMMYFUNCTION("""COMPUTED_VALUE"""),65)</f>
        <v>65</v>
      </c>
      <c r="F77" s="47" t="str">
        <f ca="1">IFERROR(__xludf.DUMMYFUNCTION("""COMPUTED_VALUE"""),"関東")</f>
        <v>関東</v>
      </c>
      <c r="G77" s="47"/>
      <c r="H77" s="47"/>
    </row>
    <row r="78" spans="1:8" ht="15.5">
      <c r="A78" s="2">
        <f ca="1">IFERROR(__xludf.DUMMYFUNCTION("""COMPUTED_VALUE"""),77)</f>
        <v>77</v>
      </c>
      <c r="B78" s="47" t="str">
        <f ca="1">IFERROR(__xludf.DUMMYFUNCTION("""COMPUTED_VALUE"""),"千葉県高等学校文化連盟")</f>
        <v>千葉県高等学校文化連盟</v>
      </c>
      <c r="C78" s="47" t="str">
        <f ca="1">IFERROR(__xludf.DUMMYFUNCTION("""COMPUTED_VALUE"""),"チバケンコウトウガッコウブンカレンメイ")</f>
        <v>チバケンコウトウガッコウブンカレンメイ</v>
      </c>
      <c r="D78" s="47" t="str">
        <f ca="1">IFERROR(__xludf.DUMMYFUNCTION("""COMPUTED_VALUE"""),"千葉県")</f>
        <v>千葉県</v>
      </c>
      <c r="E78" s="49">
        <f ca="1">IFERROR(__xludf.DUMMYFUNCTION("""COMPUTED_VALUE"""),66)</f>
        <v>66</v>
      </c>
      <c r="F78" s="47" t="str">
        <f ca="1">IFERROR(__xludf.DUMMYFUNCTION("""COMPUTED_VALUE"""),"関東")</f>
        <v>関東</v>
      </c>
      <c r="G78" s="47"/>
      <c r="H78" s="47"/>
    </row>
    <row r="79" spans="1:8" ht="15.5">
      <c r="A79" s="2">
        <f ca="1">IFERROR(__xludf.DUMMYFUNCTION("""COMPUTED_VALUE"""),78)</f>
        <v>78</v>
      </c>
      <c r="B79" s="47" t="str">
        <f ca="1">IFERROR(__xludf.DUMMYFUNCTION("""COMPUTED_VALUE"""),"国府台女子学院かるた会")</f>
        <v>国府台女子学院かるた会</v>
      </c>
      <c r="C79" s="47" t="str">
        <f ca="1">IFERROR(__xludf.DUMMYFUNCTION("""COMPUTED_VALUE"""),"コウノダイジョシガクインカルタカイ")</f>
        <v>コウノダイジョシガクインカルタカイ</v>
      </c>
      <c r="D79" s="47" t="str">
        <f ca="1">IFERROR(__xludf.DUMMYFUNCTION("""COMPUTED_VALUE"""),"千葉県")</f>
        <v>千葉県</v>
      </c>
      <c r="E79" s="49">
        <f ca="1">IFERROR(__xludf.DUMMYFUNCTION("""COMPUTED_VALUE"""),67)</f>
        <v>67</v>
      </c>
      <c r="F79" s="47" t="str">
        <f ca="1">IFERROR(__xludf.DUMMYFUNCTION("""COMPUTED_VALUE"""),"関東")</f>
        <v>関東</v>
      </c>
      <c r="G79" s="47"/>
      <c r="H79" s="47"/>
    </row>
    <row r="80" spans="1:8" ht="15.5">
      <c r="A80" s="2">
        <f ca="1">IFERROR(__xludf.DUMMYFUNCTION("""COMPUTED_VALUE"""),79)</f>
        <v>79</v>
      </c>
      <c r="B80" s="47" t="str">
        <f ca="1">IFERROR(__xludf.DUMMYFUNCTION("""COMPUTED_VALUE"""),"成田附属中学・高校かるた会")</f>
        <v>成田附属中学・高校かるた会</v>
      </c>
      <c r="C80" s="47" t="str">
        <f ca="1">IFERROR(__xludf.DUMMYFUNCTION("""COMPUTED_VALUE"""),"ナリタフゾクチュウガクコウコウカルタカイ")</f>
        <v>ナリタフゾクチュウガクコウコウカルタカイ</v>
      </c>
      <c r="D80" s="47" t="str">
        <f ca="1">IFERROR(__xludf.DUMMYFUNCTION("""COMPUTED_VALUE"""),"千葉県")</f>
        <v>千葉県</v>
      </c>
      <c r="E80" s="49">
        <f ca="1">IFERROR(__xludf.DUMMYFUNCTION("""COMPUTED_VALUE"""),68)</f>
        <v>68</v>
      </c>
      <c r="F80" s="47" t="str">
        <f ca="1">IFERROR(__xludf.DUMMYFUNCTION("""COMPUTED_VALUE"""),"関東")</f>
        <v>関東</v>
      </c>
      <c r="G80" s="47"/>
      <c r="H80" s="47"/>
    </row>
    <row r="81" spans="1:8" ht="15.5">
      <c r="A81" s="2">
        <f ca="1">IFERROR(__xludf.DUMMYFUNCTION("""COMPUTED_VALUE"""),80)</f>
        <v>80</v>
      </c>
      <c r="B81" s="47" t="str">
        <f ca="1">IFERROR(__xludf.DUMMYFUNCTION("""COMPUTED_VALUE"""),"東葛飾かるた会")</f>
        <v>東葛飾かるた会</v>
      </c>
      <c r="C81" s="47" t="str">
        <f ca="1">IFERROR(__xludf.DUMMYFUNCTION("""COMPUTED_VALUE"""),"ヒガシカツシカカルタカイ")</f>
        <v>ヒガシカツシカカルタカイ</v>
      </c>
      <c r="D81" s="47" t="str">
        <f ca="1">IFERROR(__xludf.DUMMYFUNCTION("""COMPUTED_VALUE"""),"千葉県")</f>
        <v>千葉県</v>
      </c>
      <c r="E81" s="49">
        <f ca="1">IFERROR(__xludf.DUMMYFUNCTION("""COMPUTED_VALUE"""),69)</f>
        <v>69</v>
      </c>
      <c r="F81" s="47" t="str">
        <f ca="1">IFERROR(__xludf.DUMMYFUNCTION("""COMPUTED_VALUE"""),"関東")</f>
        <v>関東</v>
      </c>
      <c r="G81" s="47"/>
      <c r="H81" s="47"/>
    </row>
    <row r="82" spans="1:8" ht="15.5">
      <c r="A82" s="2">
        <f ca="1">IFERROR(__xludf.DUMMYFUNCTION("""COMPUTED_VALUE"""),81)</f>
        <v>81</v>
      </c>
      <c r="B82" s="47" t="str">
        <f ca="1">IFERROR(__xludf.DUMMYFUNCTION("""COMPUTED_VALUE"""),"柏かるた会")</f>
        <v>柏かるた会</v>
      </c>
      <c r="C82" s="47" t="str">
        <f ca="1">IFERROR(__xludf.DUMMYFUNCTION("""COMPUTED_VALUE"""),"カシワカルタカイ")</f>
        <v>カシワカルタカイ</v>
      </c>
      <c r="D82" s="47" t="str">
        <f ca="1">IFERROR(__xludf.DUMMYFUNCTION("""COMPUTED_VALUE"""),"千葉県")</f>
        <v>千葉県</v>
      </c>
      <c r="E82" s="49">
        <f ca="1">IFERROR(__xludf.DUMMYFUNCTION("""COMPUTED_VALUE"""),70)</f>
        <v>70</v>
      </c>
      <c r="F82" s="47" t="str">
        <f ca="1">IFERROR(__xludf.DUMMYFUNCTION("""COMPUTED_VALUE"""),"関東")</f>
        <v>関東</v>
      </c>
      <c r="G82" s="47"/>
      <c r="H82" s="47"/>
    </row>
    <row r="83" spans="1:8" ht="15.5">
      <c r="A83" s="2">
        <f ca="1">IFERROR(__xludf.DUMMYFUNCTION("""COMPUTED_VALUE"""),82)</f>
        <v>82</v>
      </c>
      <c r="B83" s="47" t="str">
        <f ca="1">IFERROR(__xludf.DUMMYFUNCTION("""COMPUTED_VALUE"""),"浦安望海かるた会")</f>
        <v>浦安望海かるた会</v>
      </c>
      <c r="C83" s="47" t="str">
        <f ca="1">IFERROR(__xludf.DUMMYFUNCTION("""COMPUTED_VALUE"""),"ウラヤスボウカイカルタカイ")</f>
        <v>ウラヤスボウカイカルタカイ</v>
      </c>
      <c r="D83" s="47" t="str">
        <f ca="1">IFERROR(__xludf.DUMMYFUNCTION("""COMPUTED_VALUE"""),"千葉県")</f>
        <v>千葉県</v>
      </c>
      <c r="E83" s="49">
        <f ca="1">IFERROR(__xludf.DUMMYFUNCTION("""COMPUTED_VALUE"""),71)</f>
        <v>71</v>
      </c>
      <c r="F83" s="47" t="str">
        <f ca="1">IFERROR(__xludf.DUMMYFUNCTION("""COMPUTED_VALUE"""),"関東")</f>
        <v>関東</v>
      </c>
      <c r="G83" s="47"/>
      <c r="H83" s="47"/>
    </row>
    <row r="84" spans="1:8" ht="15.5">
      <c r="A84" s="2">
        <f ca="1">IFERROR(__xludf.DUMMYFUNCTION("""COMPUTED_VALUE"""),83)</f>
        <v>83</v>
      </c>
      <c r="B84" s="47" t="str">
        <f ca="1">IFERROR(__xludf.DUMMYFUNCTION("""COMPUTED_VALUE"""),"渋谷幕張中学高校かるた会")</f>
        <v>渋谷幕張中学高校かるた会</v>
      </c>
      <c r="C84" s="47" t="str">
        <f ca="1">IFERROR(__xludf.DUMMYFUNCTION("""COMPUTED_VALUE"""),"シブヤマクハリチュウガクコウコウカルタカイ")</f>
        <v>シブヤマクハリチュウガクコウコウカルタカイ</v>
      </c>
      <c r="D84" s="47" t="str">
        <f ca="1">IFERROR(__xludf.DUMMYFUNCTION("""COMPUTED_VALUE"""),"千葉県")</f>
        <v>千葉県</v>
      </c>
      <c r="E84" s="49">
        <f ca="1">IFERROR(__xludf.DUMMYFUNCTION("""COMPUTED_VALUE"""),72)</f>
        <v>72</v>
      </c>
      <c r="F84" s="47" t="str">
        <f ca="1">IFERROR(__xludf.DUMMYFUNCTION("""COMPUTED_VALUE"""),"関東")</f>
        <v>関東</v>
      </c>
      <c r="G84" s="47"/>
      <c r="H84" s="47"/>
    </row>
    <row r="85" spans="1:8" ht="15.5">
      <c r="A85" s="2">
        <f ca="1">IFERROR(__xludf.DUMMYFUNCTION("""COMPUTED_VALUE"""),84)</f>
        <v>84</v>
      </c>
      <c r="B85" s="47" t="str">
        <f ca="1">IFERROR(__xludf.DUMMYFUNCTION("""COMPUTED_VALUE"""),"理科大かるた会")</f>
        <v>理科大かるた会</v>
      </c>
      <c r="C85" s="47" t="str">
        <f ca="1">IFERROR(__xludf.DUMMYFUNCTION("""COMPUTED_VALUE"""),"リカダイカルタカイ")</f>
        <v>リカダイカルタカイ</v>
      </c>
      <c r="D85" s="47" t="str">
        <f ca="1">IFERROR(__xludf.DUMMYFUNCTION("""COMPUTED_VALUE"""),"千葉県")</f>
        <v>千葉県</v>
      </c>
      <c r="E85" s="49">
        <f ca="1">IFERROR(__xludf.DUMMYFUNCTION("""COMPUTED_VALUE"""),73)</f>
        <v>73</v>
      </c>
      <c r="F85" s="47" t="str">
        <f ca="1">IFERROR(__xludf.DUMMYFUNCTION("""COMPUTED_VALUE"""),"関東")</f>
        <v>関東</v>
      </c>
      <c r="G85" s="47"/>
      <c r="H85" s="47"/>
    </row>
    <row r="86" spans="1:8" ht="15.5">
      <c r="A86" s="2">
        <f ca="1">IFERROR(__xludf.DUMMYFUNCTION("""COMPUTED_VALUE"""),85)</f>
        <v>85</v>
      </c>
      <c r="B86" s="47" t="str">
        <f ca="1">IFERROR(__xludf.DUMMYFUNCTION("""COMPUTED_VALUE"""),"麗澤中高かるた会")</f>
        <v>麗澤中高かるた会</v>
      </c>
      <c r="C86" s="47" t="str">
        <f ca="1">IFERROR(__xludf.DUMMYFUNCTION("""COMPUTED_VALUE"""),"レイタクチュウコウカルタカイ")</f>
        <v>レイタクチュウコウカルタカイ</v>
      </c>
      <c r="D86" s="47" t="str">
        <f ca="1">IFERROR(__xludf.DUMMYFUNCTION("""COMPUTED_VALUE"""),"千葉県")</f>
        <v>千葉県</v>
      </c>
      <c r="E86" s="49">
        <f ca="1">IFERROR(__xludf.DUMMYFUNCTION("""COMPUTED_VALUE"""),74)</f>
        <v>74</v>
      </c>
      <c r="F86" s="47" t="str">
        <f ca="1">IFERROR(__xludf.DUMMYFUNCTION("""COMPUTED_VALUE"""),"関東")</f>
        <v>関東</v>
      </c>
      <c r="G86" s="47"/>
      <c r="H86" s="47"/>
    </row>
    <row r="87" spans="1:8" ht="15.5">
      <c r="A87" s="2">
        <f ca="1">IFERROR(__xludf.DUMMYFUNCTION("""COMPUTED_VALUE"""),86)</f>
        <v>86</v>
      </c>
      <c r="B87" s="47" t="str">
        <f ca="1">IFERROR(__xludf.DUMMYFUNCTION("""COMPUTED_VALUE"""),"流通経済大学付属柏高等学校")</f>
        <v>流通経済大学付属柏高等学校</v>
      </c>
      <c r="C87" s="47" t="str">
        <f ca="1">IFERROR(__xludf.DUMMYFUNCTION("""COMPUTED_VALUE"""),"リュウツウケイザイダイガクフゾクカシワコウトウガッコウ")</f>
        <v>リュウツウケイザイダイガクフゾクカシワコウトウガッコウ</v>
      </c>
      <c r="D87" s="47" t="str">
        <f ca="1">IFERROR(__xludf.DUMMYFUNCTION("""COMPUTED_VALUE"""),"千葉県")</f>
        <v>千葉県</v>
      </c>
      <c r="E87" s="49">
        <f ca="1">IFERROR(__xludf.DUMMYFUNCTION("""COMPUTED_VALUE"""),75)</f>
        <v>75</v>
      </c>
      <c r="F87" s="47" t="str">
        <f ca="1">IFERROR(__xludf.DUMMYFUNCTION("""COMPUTED_VALUE"""),"関東")</f>
        <v>関東</v>
      </c>
      <c r="G87" s="47" t="str">
        <f ca="1">IFERROR(__xludf.DUMMYFUNCTION("""COMPUTED_VALUE"""),"高文連")</f>
        <v>高文連</v>
      </c>
      <c r="H87" s="47"/>
    </row>
    <row r="88" spans="1:8" ht="15.5">
      <c r="A88" s="2">
        <f ca="1">IFERROR(__xludf.DUMMYFUNCTION("""COMPUTED_VALUE"""),87)</f>
        <v>87</v>
      </c>
      <c r="B88" s="47" t="str">
        <f ca="1">IFERROR(__xludf.DUMMYFUNCTION("""COMPUTED_VALUE"""),"ことのは会")</f>
        <v>ことのは会</v>
      </c>
      <c r="C88" s="47" t="str">
        <f ca="1">IFERROR(__xludf.DUMMYFUNCTION("""COMPUTED_VALUE"""),"コトノハカイ")</f>
        <v>コトノハカイ</v>
      </c>
      <c r="D88" s="47" t="str">
        <f ca="1">IFERROR(__xludf.DUMMYFUNCTION("""COMPUTED_VALUE"""),"東京都")</f>
        <v>東京都</v>
      </c>
      <c r="E88" s="49">
        <f ca="1">IFERROR(__xludf.DUMMYFUNCTION("""COMPUTED_VALUE"""),76)</f>
        <v>76</v>
      </c>
      <c r="F88" s="47" t="str">
        <f ca="1">IFERROR(__xludf.DUMMYFUNCTION("""COMPUTED_VALUE"""),"関東")</f>
        <v>関東</v>
      </c>
      <c r="G88" s="47"/>
      <c r="H88" s="47"/>
    </row>
    <row r="89" spans="1:8" ht="15.5">
      <c r="A89" s="2">
        <f ca="1">IFERROR(__xludf.DUMMYFUNCTION("""COMPUTED_VALUE"""),88)</f>
        <v>88</v>
      </c>
      <c r="B89" s="47" t="str">
        <f ca="1">IFERROR(__xludf.DUMMYFUNCTION("""COMPUTED_VALUE"""),"ゆらのと会")</f>
        <v>ゆらのと会</v>
      </c>
      <c r="C89" s="47" t="str">
        <f ca="1">IFERROR(__xludf.DUMMYFUNCTION("""COMPUTED_VALUE"""),"ユラノトカイ")</f>
        <v>ユラノトカイ</v>
      </c>
      <c r="D89" s="47" t="str">
        <f ca="1">IFERROR(__xludf.DUMMYFUNCTION("""COMPUTED_VALUE"""),"東京都")</f>
        <v>東京都</v>
      </c>
      <c r="E89" s="49">
        <f ca="1">IFERROR(__xludf.DUMMYFUNCTION("""COMPUTED_VALUE"""),77)</f>
        <v>77</v>
      </c>
      <c r="F89" s="47" t="str">
        <f ca="1">IFERROR(__xludf.DUMMYFUNCTION("""COMPUTED_VALUE"""),"関東")</f>
        <v>関東</v>
      </c>
      <c r="G89" s="47"/>
      <c r="H89" s="47"/>
    </row>
    <row r="90" spans="1:8" ht="15.5">
      <c r="A90" s="2">
        <f ca="1">IFERROR(__xludf.DUMMYFUNCTION("""COMPUTED_VALUE"""),89)</f>
        <v>89</v>
      </c>
      <c r="B90" s="47" t="str">
        <f ca="1">IFERROR(__xludf.DUMMYFUNCTION("""COMPUTED_VALUE"""),"一橋大学かるた会")</f>
        <v>一橋大学かるた会</v>
      </c>
      <c r="C90" s="47" t="str">
        <f ca="1">IFERROR(__xludf.DUMMYFUNCTION("""COMPUTED_VALUE"""),"ヒトツバシダイガクカルタカイ")</f>
        <v>ヒトツバシダイガクカルタカイ</v>
      </c>
      <c r="D90" s="47" t="str">
        <f ca="1">IFERROR(__xludf.DUMMYFUNCTION("""COMPUTED_VALUE"""),"東京都")</f>
        <v>東京都</v>
      </c>
      <c r="E90" s="49">
        <f ca="1">IFERROR(__xludf.DUMMYFUNCTION("""COMPUTED_VALUE"""),78)</f>
        <v>78</v>
      </c>
      <c r="F90" s="47" t="str">
        <f ca="1">IFERROR(__xludf.DUMMYFUNCTION("""COMPUTED_VALUE"""),"関東")</f>
        <v>関東</v>
      </c>
      <c r="G90" s="47"/>
      <c r="H90" s="47"/>
    </row>
    <row r="91" spans="1:8" ht="15.5">
      <c r="A91" s="2">
        <f ca="1">IFERROR(__xludf.DUMMYFUNCTION("""COMPUTED_VALUE"""),90)</f>
        <v>90</v>
      </c>
      <c r="B91" s="47" t="str">
        <f ca="1">IFERROR(__xludf.DUMMYFUNCTION("""COMPUTED_VALUE"""),"上砂百人一首かるた会")</f>
        <v>上砂百人一首かるた会</v>
      </c>
      <c r="C91" s="47" t="str">
        <f ca="1">IFERROR(__xludf.DUMMYFUNCTION("""COMPUTED_VALUE"""),"カミスナヒャクニンイッシュカルタカイ")</f>
        <v>カミスナヒャクニンイッシュカルタカイ</v>
      </c>
      <c r="D91" s="47" t="str">
        <f ca="1">IFERROR(__xludf.DUMMYFUNCTION("""COMPUTED_VALUE"""),"東京都")</f>
        <v>東京都</v>
      </c>
      <c r="E91" s="49">
        <f ca="1">IFERROR(__xludf.DUMMYFUNCTION("""COMPUTED_VALUE"""),79)</f>
        <v>79</v>
      </c>
      <c r="F91" s="47" t="str">
        <f ca="1">IFERROR(__xludf.DUMMYFUNCTION("""COMPUTED_VALUE"""),"関東")</f>
        <v>関東</v>
      </c>
      <c r="G91" s="47"/>
      <c r="H91" s="47"/>
    </row>
    <row r="92" spans="1:8" ht="15.5">
      <c r="A92" s="2">
        <f ca="1">IFERROR(__xludf.DUMMYFUNCTION("""COMPUTED_VALUE"""),91)</f>
        <v>91</v>
      </c>
      <c r="B92" s="47" t="str">
        <f ca="1">IFERROR(__xludf.DUMMYFUNCTION("""COMPUTED_VALUE"""),"世田谷子どもぶんか村かるた会")</f>
        <v>世田谷子どもぶんか村かるた会</v>
      </c>
      <c r="C92" s="47" t="str">
        <f ca="1">IFERROR(__xludf.DUMMYFUNCTION("""COMPUTED_VALUE"""),"セタガヤコドモブンカムラカルタカイ")</f>
        <v>セタガヤコドモブンカムラカルタカイ</v>
      </c>
      <c r="D92" s="47" t="str">
        <f ca="1">IFERROR(__xludf.DUMMYFUNCTION("""COMPUTED_VALUE"""),"東京都")</f>
        <v>東京都</v>
      </c>
      <c r="E92" s="49">
        <f ca="1">IFERROR(__xludf.DUMMYFUNCTION("""COMPUTED_VALUE"""),80)</f>
        <v>80</v>
      </c>
      <c r="F92" s="47" t="str">
        <f ca="1">IFERROR(__xludf.DUMMYFUNCTION("""COMPUTED_VALUE"""),"関東")</f>
        <v>関東</v>
      </c>
      <c r="G92" s="47"/>
      <c r="H92" s="47"/>
    </row>
    <row r="93" spans="1:8" ht="15.5">
      <c r="A93" s="2">
        <f ca="1">IFERROR(__xludf.DUMMYFUNCTION("""COMPUTED_VALUE"""),92)</f>
        <v>92</v>
      </c>
      <c r="B93" s="47" t="str">
        <f ca="1">IFERROR(__xludf.DUMMYFUNCTION("""COMPUTED_VALUE"""),"中央かるた会")</f>
        <v>中央かるた会</v>
      </c>
      <c r="C93" s="47" t="str">
        <f ca="1">IFERROR(__xludf.DUMMYFUNCTION("""COMPUTED_VALUE"""),"チュウオウカルタカイ")</f>
        <v>チュウオウカルタカイ</v>
      </c>
      <c r="D93" s="47" t="str">
        <f ca="1">IFERROR(__xludf.DUMMYFUNCTION("""COMPUTED_VALUE"""),"東京都")</f>
        <v>東京都</v>
      </c>
      <c r="E93" s="49">
        <f ca="1">IFERROR(__xludf.DUMMYFUNCTION("""COMPUTED_VALUE"""),81)</f>
        <v>81</v>
      </c>
      <c r="F93" s="47" t="str">
        <f ca="1">IFERROR(__xludf.DUMMYFUNCTION("""COMPUTED_VALUE"""),"関東")</f>
        <v>関東</v>
      </c>
      <c r="G93" s="47"/>
      <c r="H93" s="47"/>
    </row>
    <row r="94" spans="1:8" ht="15.5">
      <c r="A94" s="2">
        <f ca="1">IFERROR(__xludf.DUMMYFUNCTION("""COMPUTED_VALUE"""),93)</f>
        <v>93</v>
      </c>
      <c r="B94" s="47" t="str">
        <f ca="1">IFERROR(__xludf.DUMMYFUNCTION("""COMPUTED_VALUE"""),"二松学舎大学舞札")</f>
        <v>二松学舎大学舞札</v>
      </c>
      <c r="C94" s="47" t="str">
        <f ca="1">IFERROR(__xludf.DUMMYFUNCTION("""COMPUTED_VALUE"""),"ニショウガクシャダイガクマイフダ")</f>
        <v>ニショウガクシャダイガクマイフダ</v>
      </c>
      <c r="D94" s="47" t="str">
        <f ca="1">IFERROR(__xludf.DUMMYFUNCTION("""COMPUTED_VALUE"""),"東京都")</f>
        <v>東京都</v>
      </c>
      <c r="E94" s="49">
        <f ca="1">IFERROR(__xludf.DUMMYFUNCTION("""COMPUTED_VALUE"""),82)</f>
        <v>82</v>
      </c>
      <c r="F94" s="47" t="str">
        <f ca="1">IFERROR(__xludf.DUMMYFUNCTION("""COMPUTED_VALUE"""),"関東")</f>
        <v>関東</v>
      </c>
      <c r="G94" s="47"/>
      <c r="H94" s="47"/>
    </row>
    <row r="95" spans="1:8" ht="15.5">
      <c r="A95" s="2">
        <f ca="1">IFERROR(__xludf.DUMMYFUNCTION("""COMPUTED_VALUE"""),94)</f>
        <v>94</v>
      </c>
      <c r="B95" s="47" t="str">
        <f ca="1">IFERROR(__xludf.DUMMYFUNCTION("""COMPUTED_VALUE"""),"共立かるた会")</f>
        <v>共立かるた会</v>
      </c>
      <c r="C95" s="47" t="str">
        <f ca="1">IFERROR(__xludf.DUMMYFUNCTION("""COMPUTED_VALUE"""),"キョウリツカルタカイ")</f>
        <v>キョウリツカルタカイ</v>
      </c>
      <c r="D95" s="47" t="str">
        <f ca="1">IFERROR(__xludf.DUMMYFUNCTION("""COMPUTED_VALUE"""),"東京都")</f>
        <v>東京都</v>
      </c>
      <c r="E95" s="49">
        <f ca="1">IFERROR(__xludf.DUMMYFUNCTION("""COMPUTED_VALUE"""),83)</f>
        <v>83</v>
      </c>
      <c r="F95" s="47" t="str">
        <f ca="1">IFERROR(__xludf.DUMMYFUNCTION("""COMPUTED_VALUE"""),"関東")</f>
        <v>関東</v>
      </c>
      <c r="G95" s="47"/>
      <c r="H95" s="47"/>
    </row>
    <row r="96" spans="1:8" ht="15.5">
      <c r="A96" s="2">
        <f ca="1">IFERROR(__xludf.DUMMYFUNCTION("""COMPUTED_VALUE"""),95)</f>
        <v>95</v>
      </c>
      <c r="B96" s="47" t="str">
        <f ca="1">IFERROR(__xludf.DUMMYFUNCTION("""COMPUTED_VALUE"""),"十文字かるた会")</f>
        <v>十文字かるた会</v>
      </c>
      <c r="C96" s="47" t="str">
        <f ca="1">IFERROR(__xludf.DUMMYFUNCTION("""COMPUTED_VALUE"""),"ジュウモンジカルタカイ")</f>
        <v>ジュウモンジカルタカイ</v>
      </c>
      <c r="D96" s="47" t="str">
        <f ca="1">IFERROR(__xludf.DUMMYFUNCTION("""COMPUTED_VALUE"""),"東京都")</f>
        <v>東京都</v>
      </c>
      <c r="E96" s="49">
        <f ca="1">IFERROR(__xludf.DUMMYFUNCTION("""COMPUTED_VALUE"""),84)</f>
        <v>84</v>
      </c>
      <c r="F96" s="47" t="str">
        <f ca="1">IFERROR(__xludf.DUMMYFUNCTION("""COMPUTED_VALUE"""),"関東")</f>
        <v>関東</v>
      </c>
      <c r="G96" s="47"/>
      <c r="H96" s="47"/>
    </row>
    <row r="97" spans="1:8" ht="15.5">
      <c r="A97" s="2">
        <f ca="1">IFERROR(__xludf.DUMMYFUNCTION("""COMPUTED_VALUE"""),96)</f>
        <v>96</v>
      </c>
      <c r="B97" s="47" t="str">
        <f ca="1">IFERROR(__xludf.DUMMYFUNCTION("""COMPUTED_VALUE"""),"千代田かるた会")</f>
        <v>千代田かるた会</v>
      </c>
      <c r="C97" s="47" t="str">
        <f ca="1">IFERROR(__xludf.DUMMYFUNCTION("""COMPUTED_VALUE"""),"チヨダカルタカイ")</f>
        <v>チヨダカルタカイ</v>
      </c>
      <c r="D97" s="47" t="str">
        <f ca="1">IFERROR(__xludf.DUMMYFUNCTION("""COMPUTED_VALUE"""),"東京都")</f>
        <v>東京都</v>
      </c>
      <c r="E97" s="49">
        <f ca="1">IFERROR(__xludf.DUMMYFUNCTION("""COMPUTED_VALUE"""),85)</f>
        <v>85</v>
      </c>
      <c r="F97" s="47" t="str">
        <f ca="1">IFERROR(__xludf.DUMMYFUNCTION("""COMPUTED_VALUE"""),"関東")</f>
        <v>関東</v>
      </c>
      <c r="G97" s="47"/>
      <c r="H97" s="47"/>
    </row>
    <row r="98" spans="1:8" ht="15.5">
      <c r="A98" s="2">
        <f ca="1">IFERROR(__xludf.DUMMYFUNCTION("""COMPUTED_VALUE"""),97)</f>
        <v>97</v>
      </c>
      <c r="B98" s="47" t="str">
        <f ca="1">IFERROR(__xludf.DUMMYFUNCTION("""COMPUTED_VALUE"""),"南多摩かるた会")</f>
        <v>南多摩かるた会</v>
      </c>
      <c r="C98" s="47" t="str">
        <f ca="1">IFERROR(__xludf.DUMMYFUNCTION("""COMPUTED_VALUE"""),"ミナミタマカルタカイ")</f>
        <v>ミナミタマカルタカイ</v>
      </c>
      <c r="D98" s="47" t="str">
        <f ca="1">IFERROR(__xludf.DUMMYFUNCTION("""COMPUTED_VALUE"""),"東京都")</f>
        <v>東京都</v>
      </c>
      <c r="E98" s="49">
        <f ca="1">IFERROR(__xludf.DUMMYFUNCTION("""COMPUTED_VALUE"""),86)</f>
        <v>86</v>
      </c>
      <c r="F98" s="47" t="str">
        <f ca="1">IFERROR(__xludf.DUMMYFUNCTION("""COMPUTED_VALUE"""),"関東")</f>
        <v>関東</v>
      </c>
      <c r="G98" s="47"/>
      <c r="H98" s="47"/>
    </row>
    <row r="99" spans="1:8" ht="15.5">
      <c r="A99" s="2">
        <f ca="1">IFERROR(__xludf.DUMMYFUNCTION("""COMPUTED_VALUE"""),98)</f>
        <v>98</v>
      </c>
      <c r="B99" s="47" t="str">
        <f ca="1">IFERROR(__xludf.DUMMYFUNCTION("""COMPUTED_VALUE"""),"品川八潮かるた会")</f>
        <v>品川八潮かるた会</v>
      </c>
      <c r="C99" s="47" t="str">
        <f ca="1">IFERROR(__xludf.DUMMYFUNCTION("""COMPUTED_VALUE"""),"シナガワヤシオカルタカイ")</f>
        <v>シナガワヤシオカルタカイ</v>
      </c>
      <c r="D99" s="47" t="str">
        <f ca="1">IFERROR(__xludf.DUMMYFUNCTION("""COMPUTED_VALUE"""),"東京都")</f>
        <v>東京都</v>
      </c>
      <c r="E99" s="49">
        <f ca="1">IFERROR(__xludf.DUMMYFUNCTION("""COMPUTED_VALUE"""),87)</f>
        <v>87</v>
      </c>
      <c r="F99" s="47" t="str">
        <f ca="1">IFERROR(__xludf.DUMMYFUNCTION("""COMPUTED_VALUE"""),"関東")</f>
        <v>関東</v>
      </c>
      <c r="G99" s="47"/>
      <c r="H99" s="47"/>
    </row>
    <row r="100" spans="1:8" ht="15.5">
      <c r="A100" s="2">
        <f ca="1">IFERROR(__xludf.DUMMYFUNCTION("""COMPUTED_VALUE"""),99)</f>
        <v>99</v>
      </c>
      <c r="B100" s="47" t="str">
        <f ca="1">IFERROR(__xludf.DUMMYFUNCTION("""COMPUTED_VALUE"""),"國學院大學かるた会")</f>
        <v>國學院大學かるた会</v>
      </c>
      <c r="C100" s="47" t="str">
        <f ca="1">IFERROR(__xludf.DUMMYFUNCTION("""COMPUTED_VALUE"""),"コクガクインダイガクカルタカイ")</f>
        <v>コクガクインダイガクカルタカイ</v>
      </c>
      <c r="D100" s="47" t="str">
        <f ca="1">IFERROR(__xludf.DUMMYFUNCTION("""COMPUTED_VALUE"""),"東京都")</f>
        <v>東京都</v>
      </c>
      <c r="E100" s="49">
        <f ca="1">IFERROR(__xludf.DUMMYFUNCTION("""COMPUTED_VALUE"""),88)</f>
        <v>88</v>
      </c>
      <c r="F100" s="47" t="str">
        <f ca="1">IFERROR(__xludf.DUMMYFUNCTION("""COMPUTED_VALUE"""),"関東")</f>
        <v>関東</v>
      </c>
      <c r="G100" s="47"/>
      <c r="H100" s="47"/>
    </row>
    <row r="101" spans="1:8" ht="15.5">
      <c r="A101" s="2">
        <f ca="1">IFERROR(__xludf.DUMMYFUNCTION("""COMPUTED_VALUE"""),100)</f>
        <v>100</v>
      </c>
      <c r="B101" s="47" t="str">
        <f ca="1">IFERROR(__xludf.DUMMYFUNCTION("""COMPUTED_VALUE"""),"城北学園百人一首部")</f>
        <v>城北学園百人一首部</v>
      </c>
      <c r="C101" s="47" t="str">
        <f ca="1">IFERROR(__xludf.DUMMYFUNCTION("""COMPUTED_VALUE"""),"ジョウホクガクエンヒャクニンイッシュブ")</f>
        <v>ジョウホクガクエンヒャクニンイッシュブ</v>
      </c>
      <c r="D101" s="47" t="str">
        <f ca="1">IFERROR(__xludf.DUMMYFUNCTION("""COMPUTED_VALUE"""),"東京都")</f>
        <v>東京都</v>
      </c>
      <c r="E101" s="49">
        <f ca="1">IFERROR(__xludf.DUMMYFUNCTION("""COMPUTED_VALUE"""),89)</f>
        <v>89</v>
      </c>
      <c r="F101" s="47" t="str">
        <f ca="1">IFERROR(__xludf.DUMMYFUNCTION("""COMPUTED_VALUE"""),"関東")</f>
        <v>関東</v>
      </c>
      <c r="G101" s="47"/>
      <c r="H101" s="47"/>
    </row>
    <row r="102" spans="1:8" ht="15.5">
      <c r="A102" s="2">
        <f ca="1">IFERROR(__xludf.DUMMYFUNCTION("""COMPUTED_VALUE"""),101)</f>
        <v>101</v>
      </c>
      <c r="B102" s="47" t="str">
        <f ca="1">IFERROR(__xludf.DUMMYFUNCTION("""COMPUTED_VALUE"""),"城東かるた会")</f>
        <v>城東かるた会</v>
      </c>
      <c r="C102" s="47" t="str">
        <f ca="1">IFERROR(__xludf.DUMMYFUNCTION("""COMPUTED_VALUE"""),"ジョウトウカルタカイ")</f>
        <v>ジョウトウカルタカイ</v>
      </c>
      <c r="D102" s="47" t="str">
        <f ca="1">IFERROR(__xludf.DUMMYFUNCTION("""COMPUTED_VALUE"""),"東京都")</f>
        <v>東京都</v>
      </c>
      <c r="E102" s="49">
        <f ca="1">IFERROR(__xludf.DUMMYFUNCTION("""COMPUTED_VALUE"""),90)</f>
        <v>90</v>
      </c>
      <c r="F102" s="47" t="str">
        <f ca="1">IFERROR(__xludf.DUMMYFUNCTION("""COMPUTED_VALUE"""),"関東")</f>
        <v>関東</v>
      </c>
      <c r="G102" s="47"/>
      <c r="H102" s="47"/>
    </row>
    <row r="103" spans="1:8" ht="15.5">
      <c r="A103" s="2">
        <f ca="1">IFERROR(__xludf.DUMMYFUNCTION("""COMPUTED_VALUE"""),102)</f>
        <v>102</v>
      </c>
      <c r="B103" s="47" t="str">
        <f ca="1">IFERROR(__xludf.DUMMYFUNCTION("""COMPUTED_VALUE"""),"多摩川かるた会")</f>
        <v>多摩川かるた会</v>
      </c>
      <c r="C103" s="47" t="str">
        <f ca="1">IFERROR(__xludf.DUMMYFUNCTION("""COMPUTED_VALUE"""),"タマガワカルタカイ")</f>
        <v>タマガワカルタカイ</v>
      </c>
      <c r="D103" s="47" t="str">
        <f ca="1">IFERROR(__xludf.DUMMYFUNCTION("""COMPUTED_VALUE"""),"東京都")</f>
        <v>東京都</v>
      </c>
      <c r="E103" s="49">
        <f ca="1">IFERROR(__xludf.DUMMYFUNCTION("""COMPUTED_VALUE"""),91)</f>
        <v>91</v>
      </c>
      <c r="F103" s="47" t="str">
        <f ca="1">IFERROR(__xludf.DUMMYFUNCTION("""COMPUTED_VALUE"""),"関東")</f>
        <v>関東</v>
      </c>
      <c r="G103" s="47"/>
      <c r="H103" s="47"/>
    </row>
    <row r="104" spans="1:8" ht="15.5">
      <c r="A104" s="2">
        <f ca="1">IFERROR(__xludf.DUMMYFUNCTION("""COMPUTED_VALUE"""),103)</f>
        <v>103</v>
      </c>
      <c r="B104" s="47" t="str">
        <f ca="1">IFERROR(__xludf.DUMMYFUNCTION("""COMPUTED_VALUE"""),"大妻多摩かるた会")</f>
        <v>大妻多摩かるた会</v>
      </c>
      <c r="C104" s="47" t="str">
        <f ca="1">IFERROR(__xludf.DUMMYFUNCTION("""COMPUTED_VALUE"""),"オオツマタマカルタカイ")</f>
        <v>オオツマタマカルタカイ</v>
      </c>
      <c r="D104" s="47" t="str">
        <f ca="1">IFERROR(__xludf.DUMMYFUNCTION("""COMPUTED_VALUE"""),"東京都")</f>
        <v>東京都</v>
      </c>
      <c r="E104" s="49">
        <f ca="1">IFERROR(__xludf.DUMMYFUNCTION("""COMPUTED_VALUE"""),92)</f>
        <v>92</v>
      </c>
      <c r="F104" s="47" t="str">
        <f ca="1">IFERROR(__xludf.DUMMYFUNCTION("""COMPUTED_VALUE"""),"関東")</f>
        <v>関東</v>
      </c>
      <c r="G104" s="47"/>
      <c r="H104" s="47"/>
    </row>
    <row r="105" spans="1:8" ht="15.5">
      <c r="A105" s="2">
        <f ca="1">IFERROR(__xludf.DUMMYFUNCTION("""COMPUTED_VALUE"""),104)</f>
        <v>104</v>
      </c>
      <c r="B105" s="47" t="str">
        <f ca="1">IFERROR(__xludf.DUMMYFUNCTION("""COMPUTED_VALUE"""),"天津乙女の会")</f>
        <v>天津乙女の会</v>
      </c>
      <c r="C105" s="47" t="str">
        <f ca="1">IFERROR(__xludf.DUMMYFUNCTION("""COMPUTED_VALUE"""),"アマツオトメノカイ")</f>
        <v>アマツオトメノカイ</v>
      </c>
      <c r="D105" s="47" t="str">
        <f ca="1">IFERROR(__xludf.DUMMYFUNCTION("""COMPUTED_VALUE"""),"東京都")</f>
        <v>東京都</v>
      </c>
      <c r="E105" s="49">
        <f ca="1">IFERROR(__xludf.DUMMYFUNCTION("""COMPUTED_VALUE"""),93)</f>
        <v>93</v>
      </c>
      <c r="F105" s="47" t="str">
        <f ca="1">IFERROR(__xludf.DUMMYFUNCTION("""COMPUTED_VALUE"""),"関東")</f>
        <v>関東</v>
      </c>
      <c r="G105" s="47"/>
      <c r="H105" s="47"/>
    </row>
    <row r="106" spans="1:8" ht="15.5">
      <c r="A106" s="2">
        <f ca="1">IFERROR(__xludf.DUMMYFUNCTION("""COMPUTED_VALUE"""),105)</f>
        <v>105</v>
      </c>
      <c r="B106" s="47" t="str">
        <f ca="1">IFERROR(__xludf.DUMMYFUNCTION("""COMPUTED_VALUE"""),"学習院大学かるた会")</f>
        <v>学習院大学かるた会</v>
      </c>
      <c r="C106" s="47" t="str">
        <f ca="1">IFERROR(__xludf.DUMMYFUNCTION("""COMPUTED_VALUE"""),"ガクシュウインダイガクカルタカイ")</f>
        <v>ガクシュウインダイガクカルタカイ</v>
      </c>
      <c r="D106" s="47" t="str">
        <f ca="1">IFERROR(__xludf.DUMMYFUNCTION("""COMPUTED_VALUE"""),"東京都")</f>
        <v>東京都</v>
      </c>
      <c r="E106" s="49">
        <f ca="1">IFERROR(__xludf.DUMMYFUNCTION("""COMPUTED_VALUE"""),94)</f>
        <v>94</v>
      </c>
      <c r="F106" s="47" t="str">
        <f ca="1">IFERROR(__xludf.DUMMYFUNCTION("""COMPUTED_VALUE"""),"関東")</f>
        <v>関東</v>
      </c>
      <c r="G106" s="47"/>
      <c r="H106" s="47"/>
    </row>
    <row r="107" spans="1:8" ht="15.5">
      <c r="A107" s="2">
        <f ca="1">IFERROR(__xludf.DUMMYFUNCTION("""COMPUTED_VALUE"""),106)</f>
        <v>106</v>
      </c>
      <c r="B107" s="47" t="str">
        <f ca="1">IFERROR(__xludf.DUMMYFUNCTION("""COMPUTED_VALUE"""),"安田かるた会")</f>
        <v>安田かるた会</v>
      </c>
      <c r="C107" s="47" t="str">
        <f ca="1">IFERROR(__xludf.DUMMYFUNCTION("""COMPUTED_VALUE"""),"ヤスダカルタカイ")</f>
        <v>ヤスダカルタカイ</v>
      </c>
      <c r="D107" s="47" t="str">
        <f ca="1">IFERROR(__xludf.DUMMYFUNCTION("""COMPUTED_VALUE"""),"東京都")</f>
        <v>東京都</v>
      </c>
      <c r="E107" s="49">
        <f ca="1">IFERROR(__xludf.DUMMYFUNCTION("""COMPUTED_VALUE"""),95)</f>
        <v>95</v>
      </c>
      <c r="F107" s="47" t="str">
        <f ca="1">IFERROR(__xludf.DUMMYFUNCTION("""COMPUTED_VALUE"""),"関東")</f>
        <v>関東</v>
      </c>
      <c r="G107" s="47"/>
      <c r="H107" s="47"/>
    </row>
    <row r="108" spans="1:8" ht="15.5">
      <c r="A108" s="2">
        <f ca="1">IFERROR(__xludf.DUMMYFUNCTION("""COMPUTED_VALUE"""),107)</f>
        <v>107</v>
      </c>
      <c r="B108" s="47" t="str">
        <f ca="1">IFERROR(__xludf.DUMMYFUNCTION("""COMPUTED_VALUE"""),"専修大学かるた会")</f>
        <v>専修大学かるた会</v>
      </c>
      <c r="C108" s="47" t="str">
        <f ca="1">IFERROR(__xludf.DUMMYFUNCTION("""COMPUTED_VALUE"""),"センシュウダイガクカルタカイ")</f>
        <v>センシュウダイガクカルタカイ</v>
      </c>
      <c r="D108" s="47" t="str">
        <f ca="1">IFERROR(__xludf.DUMMYFUNCTION("""COMPUTED_VALUE"""),"東京都")</f>
        <v>東京都</v>
      </c>
      <c r="E108" s="49">
        <f ca="1">IFERROR(__xludf.DUMMYFUNCTION("""COMPUTED_VALUE"""),96)</f>
        <v>96</v>
      </c>
      <c r="F108" s="47" t="str">
        <f ca="1">IFERROR(__xludf.DUMMYFUNCTION("""COMPUTED_VALUE"""),"関東")</f>
        <v>関東</v>
      </c>
      <c r="G108" s="47"/>
      <c r="H108" s="47"/>
    </row>
    <row r="109" spans="1:8" ht="15.5">
      <c r="A109" s="2">
        <f ca="1">IFERROR(__xludf.DUMMYFUNCTION("""COMPUTED_VALUE"""),108)</f>
        <v>108</v>
      </c>
      <c r="B109" s="47" t="str">
        <f ca="1">IFERROR(__xludf.DUMMYFUNCTION("""COMPUTED_VALUE"""),"巣鴨学園かるた会")</f>
        <v>巣鴨学園かるた会</v>
      </c>
      <c r="C109" s="47" t="str">
        <f ca="1">IFERROR(__xludf.DUMMYFUNCTION("""COMPUTED_VALUE"""),"スガモガクエンカルタカイ")</f>
        <v>スガモガクエンカルタカイ</v>
      </c>
      <c r="D109" s="47" t="str">
        <f ca="1">IFERROR(__xludf.DUMMYFUNCTION("""COMPUTED_VALUE"""),"東京都")</f>
        <v>東京都</v>
      </c>
      <c r="E109" s="49">
        <f ca="1">IFERROR(__xludf.DUMMYFUNCTION("""COMPUTED_VALUE"""),97)</f>
        <v>97</v>
      </c>
      <c r="F109" s="47" t="str">
        <f ca="1">IFERROR(__xludf.DUMMYFUNCTION("""COMPUTED_VALUE"""),"関東")</f>
        <v>関東</v>
      </c>
      <c r="G109" s="47"/>
      <c r="H109" s="47"/>
    </row>
    <row r="110" spans="1:8" ht="15.5">
      <c r="A110" s="2">
        <f ca="1">IFERROR(__xludf.DUMMYFUNCTION("""COMPUTED_VALUE"""),109)</f>
        <v>109</v>
      </c>
      <c r="B110" s="47" t="str">
        <f ca="1">IFERROR(__xludf.DUMMYFUNCTION("""COMPUTED_VALUE"""),"帝京大学中学高等学校競技かるた部")</f>
        <v>帝京大学中学高等学校競技かるた部</v>
      </c>
      <c r="C110" s="47" t="str">
        <f ca="1">IFERROR(__xludf.DUMMYFUNCTION("""COMPUTED_VALUE"""),"テイキョウダイガクチュウガクコウトウガッコウキョウギカルタブ")</f>
        <v>テイキョウダイガクチュウガクコウトウガッコウキョウギカルタブ</v>
      </c>
      <c r="D110" s="47" t="str">
        <f ca="1">IFERROR(__xludf.DUMMYFUNCTION("""COMPUTED_VALUE"""),"東京都")</f>
        <v>東京都</v>
      </c>
      <c r="E110" s="49">
        <f ca="1">IFERROR(__xludf.DUMMYFUNCTION("""COMPUTED_VALUE"""),98)</f>
        <v>98</v>
      </c>
      <c r="F110" s="47" t="str">
        <f ca="1">IFERROR(__xludf.DUMMYFUNCTION("""COMPUTED_VALUE"""),"関東")</f>
        <v>関東</v>
      </c>
      <c r="G110" s="47"/>
      <c r="H110" s="47"/>
    </row>
    <row r="111" spans="1:8" ht="15.5">
      <c r="A111" s="2">
        <f ca="1">IFERROR(__xludf.DUMMYFUNCTION("""COMPUTED_VALUE"""),110)</f>
        <v>110</v>
      </c>
      <c r="B111" s="47" t="str">
        <f ca="1">IFERROR(__xludf.DUMMYFUNCTION("""COMPUTED_VALUE"""),"府中白妙会")</f>
        <v>府中白妙会</v>
      </c>
      <c r="C111" s="47" t="str">
        <f ca="1">IFERROR(__xludf.DUMMYFUNCTION("""COMPUTED_VALUE"""),"フチュウシロタエカイ")</f>
        <v>フチュウシロタエカイ</v>
      </c>
      <c r="D111" s="47" t="str">
        <f ca="1">IFERROR(__xludf.DUMMYFUNCTION("""COMPUTED_VALUE"""),"東京都")</f>
        <v>東京都</v>
      </c>
      <c r="E111" s="49">
        <f ca="1">IFERROR(__xludf.DUMMYFUNCTION("""COMPUTED_VALUE"""),99)</f>
        <v>99</v>
      </c>
      <c r="F111" s="47" t="str">
        <f ca="1">IFERROR(__xludf.DUMMYFUNCTION("""COMPUTED_VALUE"""),"関東")</f>
        <v>関東</v>
      </c>
      <c r="G111" s="47"/>
      <c r="H111" s="47"/>
    </row>
    <row r="112" spans="1:8" ht="15.5">
      <c r="A112" s="2">
        <f ca="1">IFERROR(__xludf.DUMMYFUNCTION("""COMPUTED_VALUE"""),111)</f>
        <v>111</v>
      </c>
      <c r="B112" s="47" t="str">
        <f ca="1">IFERROR(__xludf.DUMMYFUNCTION("""COMPUTED_VALUE"""),"恵比寿有明会")</f>
        <v>恵比寿有明会</v>
      </c>
      <c r="C112" s="47" t="str">
        <f ca="1">IFERROR(__xludf.DUMMYFUNCTION("""COMPUTED_VALUE"""),"エビスアリアケカイ")</f>
        <v>エビスアリアケカイ</v>
      </c>
      <c r="D112" s="47" t="str">
        <f ca="1">IFERROR(__xludf.DUMMYFUNCTION("""COMPUTED_VALUE"""),"東京都")</f>
        <v>東京都</v>
      </c>
      <c r="E112" s="49">
        <f ca="1">IFERROR(__xludf.DUMMYFUNCTION("""COMPUTED_VALUE"""),100)</f>
        <v>100</v>
      </c>
      <c r="F112" s="47" t="str">
        <f ca="1">IFERROR(__xludf.DUMMYFUNCTION("""COMPUTED_VALUE"""),"関東")</f>
        <v>関東</v>
      </c>
      <c r="G112" s="47"/>
      <c r="H112" s="47"/>
    </row>
    <row r="113" spans="1:8" ht="15.5">
      <c r="A113" s="2">
        <f ca="1">IFERROR(__xludf.DUMMYFUNCTION("""COMPUTED_VALUE"""),112)</f>
        <v>112</v>
      </c>
      <c r="B113" s="47" t="str">
        <f ca="1">IFERROR(__xludf.DUMMYFUNCTION("""COMPUTED_VALUE"""),"慶應かるた会")</f>
        <v>慶應かるた会</v>
      </c>
      <c r="C113" s="47" t="str">
        <f ca="1">IFERROR(__xludf.DUMMYFUNCTION("""COMPUTED_VALUE"""),"ケイオウカルタカイ")</f>
        <v>ケイオウカルタカイ</v>
      </c>
      <c r="D113" s="47" t="str">
        <f ca="1">IFERROR(__xludf.DUMMYFUNCTION("""COMPUTED_VALUE"""),"東京都")</f>
        <v>東京都</v>
      </c>
      <c r="E113" s="49">
        <f ca="1">IFERROR(__xludf.DUMMYFUNCTION("""COMPUTED_VALUE"""),101)</f>
        <v>101</v>
      </c>
      <c r="F113" s="47" t="str">
        <f ca="1">IFERROR(__xludf.DUMMYFUNCTION("""COMPUTED_VALUE"""),"関東")</f>
        <v>関東</v>
      </c>
      <c r="G113" s="47"/>
      <c r="H113" s="47"/>
    </row>
    <row r="114" spans="1:8" ht="15.5">
      <c r="A114" s="2">
        <f ca="1">IFERROR(__xludf.DUMMYFUNCTION("""COMPUTED_VALUE"""),113)</f>
        <v>113</v>
      </c>
      <c r="B114" s="47" t="str">
        <f ca="1">IFERROR(__xludf.DUMMYFUNCTION("""COMPUTED_VALUE"""),"日本大学かるた会")</f>
        <v>日本大学かるた会</v>
      </c>
      <c r="C114" s="47" t="str">
        <f ca="1">IFERROR(__xludf.DUMMYFUNCTION("""COMPUTED_VALUE"""),"ニホンダイガクカルタカイ")</f>
        <v>ニホンダイガクカルタカイ</v>
      </c>
      <c r="D114" s="47" t="str">
        <f ca="1">IFERROR(__xludf.DUMMYFUNCTION("""COMPUTED_VALUE"""),"東京都")</f>
        <v>東京都</v>
      </c>
      <c r="E114" s="49">
        <f ca="1">IFERROR(__xludf.DUMMYFUNCTION("""COMPUTED_VALUE"""),102)</f>
        <v>102</v>
      </c>
      <c r="F114" s="47" t="str">
        <f ca="1">IFERROR(__xludf.DUMMYFUNCTION("""COMPUTED_VALUE"""),"関東")</f>
        <v>関東</v>
      </c>
      <c r="G114" s="47"/>
      <c r="H114" s="47"/>
    </row>
    <row r="115" spans="1:8" ht="15.5">
      <c r="A115" s="2">
        <f ca="1">IFERROR(__xludf.DUMMYFUNCTION("""COMPUTED_VALUE"""),114)</f>
        <v>114</v>
      </c>
      <c r="B115" s="47" t="str">
        <f ca="1">IFERROR(__xludf.DUMMYFUNCTION("""COMPUTED_VALUE"""),"日本女子大学かるた会")</f>
        <v>日本女子大学かるた会</v>
      </c>
      <c r="C115" s="47" t="str">
        <f ca="1">IFERROR(__xludf.DUMMYFUNCTION("""COMPUTED_VALUE"""),"ニホンジョシダイガクカルタカイ")</f>
        <v>ニホンジョシダイガクカルタカイ</v>
      </c>
      <c r="D115" s="47" t="str">
        <f ca="1">IFERROR(__xludf.DUMMYFUNCTION("""COMPUTED_VALUE"""),"東京都")</f>
        <v>東京都</v>
      </c>
      <c r="E115" s="49">
        <f ca="1">IFERROR(__xludf.DUMMYFUNCTION("""COMPUTED_VALUE"""),103)</f>
        <v>103</v>
      </c>
      <c r="F115" s="47" t="str">
        <f ca="1">IFERROR(__xludf.DUMMYFUNCTION("""COMPUTED_VALUE"""),"関東")</f>
        <v>関東</v>
      </c>
      <c r="G115" s="47"/>
      <c r="H115" s="47"/>
    </row>
    <row r="116" spans="1:8" ht="15.5">
      <c r="A116" s="2">
        <f ca="1">IFERROR(__xludf.DUMMYFUNCTION("""COMPUTED_VALUE"""),115)</f>
        <v>115</v>
      </c>
      <c r="B116" s="47" t="str">
        <f ca="1">IFERROR(__xludf.DUMMYFUNCTION("""COMPUTED_VALUE"""),"日野百人一首の会")</f>
        <v>日野百人一首の会</v>
      </c>
      <c r="C116" s="47" t="str">
        <f ca="1">IFERROR(__xludf.DUMMYFUNCTION("""COMPUTED_VALUE"""),"ヒノヒャクニンイッシュノカイ")</f>
        <v>ヒノヒャクニンイッシュノカイ</v>
      </c>
      <c r="D116" s="47" t="str">
        <f ca="1">IFERROR(__xludf.DUMMYFUNCTION("""COMPUTED_VALUE"""),"東京都")</f>
        <v>東京都</v>
      </c>
      <c r="E116" s="49">
        <f ca="1">IFERROR(__xludf.DUMMYFUNCTION("""COMPUTED_VALUE"""),104)</f>
        <v>104</v>
      </c>
      <c r="F116" s="47" t="str">
        <f ca="1">IFERROR(__xludf.DUMMYFUNCTION("""COMPUTED_VALUE"""),"関東")</f>
        <v>関東</v>
      </c>
      <c r="G116" s="47"/>
      <c r="H116" s="47"/>
    </row>
    <row r="117" spans="1:8" ht="15.5">
      <c r="A117" s="2">
        <f ca="1">IFERROR(__xludf.DUMMYFUNCTION("""COMPUTED_VALUE"""),116)</f>
        <v>116</v>
      </c>
      <c r="B117" s="47" t="str">
        <f ca="1">IFERROR(__xludf.DUMMYFUNCTION("""COMPUTED_VALUE"""),"早稲田大学かるた会")</f>
        <v>早稲田大学かるた会</v>
      </c>
      <c r="C117" s="47" t="str">
        <f ca="1">IFERROR(__xludf.DUMMYFUNCTION("""COMPUTED_VALUE"""),"ワセダダイガクカルタカイ")</f>
        <v>ワセダダイガクカルタカイ</v>
      </c>
      <c r="D117" s="47" t="str">
        <f ca="1">IFERROR(__xludf.DUMMYFUNCTION("""COMPUTED_VALUE"""),"東京都")</f>
        <v>東京都</v>
      </c>
      <c r="E117" s="49">
        <f ca="1">IFERROR(__xludf.DUMMYFUNCTION("""COMPUTED_VALUE"""),105)</f>
        <v>105</v>
      </c>
      <c r="F117" s="47" t="str">
        <f ca="1">IFERROR(__xludf.DUMMYFUNCTION("""COMPUTED_VALUE"""),"関東")</f>
        <v>関東</v>
      </c>
      <c r="G117" s="47"/>
      <c r="H117" s="47"/>
    </row>
    <row r="118" spans="1:8" ht="15.5">
      <c r="A118" s="2">
        <f ca="1">IFERROR(__xludf.DUMMYFUNCTION("""COMPUTED_VALUE"""),117)</f>
        <v>117</v>
      </c>
      <c r="B118" s="47" t="str">
        <f ca="1">IFERROR(__xludf.DUMMYFUNCTION("""COMPUTED_VALUE"""),"明星かるた会")</f>
        <v>明星かるた会</v>
      </c>
      <c r="C118" s="47" t="str">
        <f ca="1">IFERROR(__xludf.DUMMYFUNCTION("""COMPUTED_VALUE"""),"メイセイカルタカイ")</f>
        <v>メイセイカルタカイ</v>
      </c>
      <c r="D118" s="47" t="str">
        <f ca="1">IFERROR(__xludf.DUMMYFUNCTION("""COMPUTED_VALUE"""),"東京都")</f>
        <v>東京都</v>
      </c>
      <c r="E118" s="49">
        <f ca="1">IFERROR(__xludf.DUMMYFUNCTION("""COMPUTED_VALUE"""),106)</f>
        <v>106</v>
      </c>
      <c r="F118" s="47" t="str">
        <f ca="1">IFERROR(__xludf.DUMMYFUNCTION("""COMPUTED_VALUE"""),"関東")</f>
        <v>関東</v>
      </c>
      <c r="G118" s="47"/>
      <c r="H118" s="47"/>
    </row>
    <row r="119" spans="1:8" ht="15.5">
      <c r="A119" s="2">
        <f ca="1">IFERROR(__xludf.DUMMYFUNCTION("""COMPUTED_VALUE"""),118)</f>
        <v>118</v>
      </c>
      <c r="B119" s="47" t="str">
        <f ca="1">IFERROR(__xludf.DUMMYFUNCTION("""COMPUTED_VALUE"""),"明治大学かるた会")</f>
        <v>明治大学かるた会</v>
      </c>
      <c r="C119" s="47" t="str">
        <f ca="1">IFERROR(__xludf.DUMMYFUNCTION("""COMPUTED_VALUE"""),"メイジダイガクカルタカイ")</f>
        <v>メイジダイガクカルタカイ</v>
      </c>
      <c r="D119" s="47" t="str">
        <f ca="1">IFERROR(__xludf.DUMMYFUNCTION("""COMPUTED_VALUE"""),"東京都")</f>
        <v>東京都</v>
      </c>
      <c r="E119" s="49">
        <f ca="1">IFERROR(__xludf.DUMMYFUNCTION("""COMPUTED_VALUE"""),107)</f>
        <v>107</v>
      </c>
      <c r="F119" s="47" t="str">
        <f ca="1">IFERROR(__xludf.DUMMYFUNCTION("""COMPUTED_VALUE"""),"関東")</f>
        <v>関東</v>
      </c>
      <c r="G119" s="47"/>
      <c r="H119" s="47"/>
    </row>
    <row r="120" spans="1:8" ht="15.5">
      <c r="A120" s="2">
        <f ca="1">IFERROR(__xludf.DUMMYFUNCTION("""COMPUTED_VALUE"""),119)</f>
        <v>119</v>
      </c>
      <c r="B120" s="47" t="str">
        <f ca="1">IFERROR(__xludf.DUMMYFUNCTION("""COMPUTED_VALUE"""),"暁星かるた会")</f>
        <v>暁星かるた会</v>
      </c>
      <c r="C120" s="47" t="str">
        <f ca="1">IFERROR(__xludf.DUMMYFUNCTION("""COMPUTED_VALUE"""),"ギョウセイカルタカイ")</f>
        <v>ギョウセイカルタカイ</v>
      </c>
      <c r="D120" s="47" t="str">
        <f ca="1">IFERROR(__xludf.DUMMYFUNCTION("""COMPUTED_VALUE"""),"東京都")</f>
        <v>東京都</v>
      </c>
      <c r="E120" s="49">
        <f ca="1">IFERROR(__xludf.DUMMYFUNCTION("""COMPUTED_VALUE"""),108)</f>
        <v>108</v>
      </c>
      <c r="F120" s="47" t="str">
        <f ca="1">IFERROR(__xludf.DUMMYFUNCTION("""COMPUTED_VALUE"""),"関東")</f>
        <v>関東</v>
      </c>
      <c r="G120" s="47"/>
      <c r="H120" s="47"/>
    </row>
    <row r="121" spans="1:8" ht="15.5">
      <c r="A121" s="2">
        <f ca="1">IFERROR(__xludf.DUMMYFUNCTION("""COMPUTED_VALUE"""),120)</f>
        <v>120</v>
      </c>
      <c r="B121" s="47" t="str">
        <f ca="1">IFERROR(__xludf.DUMMYFUNCTION("""COMPUTED_VALUE"""),"杉並かるた会")</f>
        <v>杉並かるた会</v>
      </c>
      <c r="C121" s="47" t="str">
        <f ca="1">IFERROR(__xludf.DUMMYFUNCTION("""COMPUTED_VALUE"""),"スギナミカルタカイ")</f>
        <v>スギナミカルタカイ</v>
      </c>
      <c r="D121" s="47" t="str">
        <f ca="1">IFERROR(__xludf.DUMMYFUNCTION("""COMPUTED_VALUE"""),"東京都")</f>
        <v>東京都</v>
      </c>
      <c r="E121" s="49">
        <f ca="1">IFERROR(__xludf.DUMMYFUNCTION("""COMPUTED_VALUE"""),109)</f>
        <v>109</v>
      </c>
      <c r="F121" s="47" t="str">
        <f ca="1">IFERROR(__xludf.DUMMYFUNCTION("""COMPUTED_VALUE"""),"関東")</f>
        <v>関東</v>
      </c>
      <c r="G121" s="47"/>
      <c r="H121" s="47"/>
    </row>
    <row r="122" spans="1:8" ht="15.5">
      <c r="A122" s="2">
        <f ca="1">IFERROR(__xludf.DUMMYFUNCTION("""COMPUTED_VALUE"""),121)</f>
        <v>121</v>
      </c>
      <c r="B122" s="47" t="str">
        <f ca="1">IFERROR(__xludf.DUMMYFUNCTION("""COMPUTED_VALUE"""),"東京吉野会")</f>
        <v>東京吉野会</v>
      </c>
      <c r="C122" s="47" t="str">
        <f ca="1">IFERROR(__xludf.DUMMYFUNCTION("""COMPUTED_VALUE"""),"トウキョウヨシノカイ")</f>
        <v>トウキョウヨシノカイ</v>
      </c>
      <c r="D122" s="47" t="str">
        <f ca="1">IFERROR(__xludf.DUMMYFUNCTION("""COMPUTED_VALUE"""),"東京都")</f>
        <v>東京都</v>
      </c>
      <c r="E122" s="49">
        <f ca="1">IFERROR(__xludf.DUMMYFUNCTION("""COMPUTED_VALUE"""),110)</f>
        <v>110</v>
      </c>
      <c r="F122" s="47" t="str">
        <f ca="1">IFERROR(__xludf.DUMMYFUNCTION("""COMPUTED_VALUE"""),"関東")</f>
        <v>関東</v>
      </c>
      <c r="G122" s="47"/>
      <c r="H122" s="47"/>
    </row>
    <row r="123" spans="1:8" ht="15.5">
      <c r="A123" s="2">
        <f ca="1">IFERROR(__xludf.DUMMYFUNCTION("""COMPUTED_VALUE"""),122)</f>
        <v>122</v>
      </c>
      <c r="B123" s="47" t="str">
        <f ca="1">IFERROR(__xludf.DUMMYFUNCTION("""COMPUTED_VALUE"""),"東京外国語大学かるた会")</f>
        <v>東京外国語大学かるた会</v>
      </c>
      <c r="C123" s="47" t="str">
        <f ca="1">IFERROR(__xludf.DUMMYFUNCTION("""COMPUTED_VALUE"""),"トウキョウガイコクゴダイガクカルタカイ")</f>
        <v>トウキョウガイコクゴダイガクカルタカイ</v>
      </c>
      <c r="D123" s="47" t="str">
        <f ca="1">IFERROR(__xludf.DUMMYFUNCTION("""COMPUTED_VALUE"""),"東京都")</f>
        <v>東京都</v>
      </c>
      <c r="E123" s="49">
        <f ca="1">IFERROR(__xludf.DUMMYFUNCTION("""COMPUTED_VALUE"""),111)</f>
        <v>111</v>
      </c>
      <c r="F123" s="47" t="str">
        <f ca="1">IFERROR(__xludf.DUMMYFUNCTION("""COMPUTED_VALUE"""),"関東")</f>
        <v>関東</v>
      </c>
      <c r="G123" s="47"/>
      <c r="H123" s="47"/>
    </row>
    <row r="124" spans="1:8" ht="15.5">
      <c r="A124" s="2">
        <f ca="1">IFERROR(__xludf.DUMMYFUNCTION("""COMPUTED_VALUE"""),123)</f>
        <v>123</v>
      </c>
      <c r="B124" s="47" t="str">
        <f ca="1">IFERROR(__xludf.DUMMYFUNCTION("""COMPUTED_VALUE"""),"東京大学かるた会")</f>
        <v>東京大学かるた会</v>
      </c>
      <c r="C124" s="47" t="str">
        <f ca="1">IFERROR(__xludf.DUMMYFUNCTION("""COMPUTED_VALUE"""),"トウキョウダイガクカルタカイ")</f>
        <v>トウキョウダイガクカルタカイ</v>
      </c>
      <c r="D124" s="47" t="str">
        <f ca="1">IFERROR(__xludf.DUMMYFUNCTION("""COMPUTED_VALUE"""),"東京都")</f>
        <v>東京都</v>
      </c>
      <c r="E124" s="49">
        <f ca="1">IFERROR(__xludf.DUMMYFUNCTION("""COMPUTED_VALUE"""),112)</f>
        <v>112</v>
      </c>
      <c r="F124" s="47" t="str">
        <f ca="1">IFERROR(__xludf.DUMMYFUNCTION("""COMPUTED_VALUE"""),"関東")</f>
        <v>関東</v>
      </c>
      <c r="G124" s="47"/>
      <c r="H124" s="47"/>
    </row>
    <row r="125" spans="1:8" ht="15.5">
      <c r="A125" s="2">
        <f ca="1">IFERROR(__xludf.DUMMYFUNCTION("""COMPUTED_VALUE"""),124)</f>
        <v>124</v>
      </c>
      <c r="B125" s="47" t="str">
        <f ca="1">IFERROR(__xludf.DUMMYFUNCTION("""COMPUTED_VALUE"""),"東京学芸大学かるた会")</f>
        <v>東京学芸大学かるた会</v>
      </c>
      <c r="C125" s="47" t="str">
        <f ca="1">IFERROR(__xludf.DUMMYFUNCTION("""COMPUTED_VALUE"""),"トウキョウガクゲイダイガクカルタカイ")</f>
        <v>トウキョウガクゲイダイガクカルタカイ</v>
      </c>
      <c r="D125" s="47" t="str">
        <f ca="1">IFERROR(__xludf.DUMMYFUNCTION("""COMPUTED_VALUE"""),"東京都")</f>
        <v>東京都</v>
      </c>
      <c r="E125" s="49">
        <f ca="1">IFERROR(__xludf.DUMMYFUNCTION("""COMPUTED_VALUE"""),113)</f>
        <v>113</v>
      </c>
      <c r="F125" s="47" t="str">
        <f ca="1">IFERROR(__xludf.DUMMYFUNCTION("""COMPUTED_VALUE"""),"関東")</f>
        <v>関東</v>
      </c>
      <c r="G125" s="47"/>
      <c r="H125" s="47"/>
    </row>
    <row r="126" spans="1:8" ht="15.5">
      <c r="A126" s="2">
        <f ca="1">IFERROR(__xludf.DUMMYFUNCTION("""COMPUTED_VALUE"""),125)</f>
        <v>125</v>
      </c>
      <c r="B126" s="47" t="str">
        <f ca="1">IFERROR(__xludf.DUMMYFUNCTION("""COMPUTED_VALUE"""),"東京明静会")</f>
        <v>東京明静会</v>
      </c>
      <c r="C126" s="47" t="str">
        <f ca="1">IFERROR(__xludf.DUMMYFUNCTION("""COMPUTED_VALUE"""),"トウキョウメイセイカイ")</f>
        <v>トウキョウメイセイカイ</v>
      </c>
      <c r="D126" s="47" t="str">
        <f ca="1">IFERROR(__xludf.DUMMYFUNCTION("""COMPUTED_VALUE"""),"東京都")</f>
        <v>東京都</v>
      </c>
      <c r="E126" s="49">
        <f ca="1">IFERROR(__xludf.DUMMYFUNCTION("""COMPUTED_VALUE"""),114)</f>
        <v>114</v>
      </c>
      <c r="F126" s="47" t="str">
        <f ca="1">IFERROR(__xludf.DUMMYFUNCTION("""COMPUTED_VALUE"""),"関東")</f>
        <v>関東</v>
      </c>
      <c r="G126" s="47"/>
      <c r="H126" s="47"/>
    </row>
    <row r="127" spans="1:8" ht="15.5">
      <c r="A127" s="2">
        <f ca="1">IFERROR(__xludf.DUMMYFUNCTION("""COMPUTED_VALUE"""),126)</f>
        <v>126</v>
      </c>
      <c r="B127" s="47" t="str">
        <f ca="1">IFERROR(__xludf.DUMMYFUNCTION("""COMPUTED_VALUE"""),"東京東会")</f>
        <v>東京東会</v>
      </c>
      <c r="C127" s="47" t="str">
        <f ca="1">IFERROR(__xludf.DUMMYFUNCTION("""COMPUTED_VALUE"""),"トウキョウトウカイ")</f>
        <v>トウキョウトウカイ</v>
      </c>
      <c r="D127" s="47" t="str">
        <f ca="1">IFERROR(__xludf.DUMMYFUNCTION("""COMPUTED_VALUE"""),"東京都")</f>
        <v>東京都</v>
      </c>
      <c r="E127" s="49">
        <f ca="1">IFERROR(__xludf.DUMMYFUNCTION("""COMPUTED_VALUE"""),115)</f>
        <v>115</v>
      </c>
      <c r="F127" s="47" t="str">
        <f ca="1">IFERROR(__xludf.DUMMYFUNCTION("""COMPUTED_VALUE"""),"関東")</f>
        <v>関東</v>
      </c>
      <c r="G127" s="47"/>
      <c r="H127" s="47"/>
    </row>
    <row r="128" spans="1:8" ht="15.5">
      <c r="A128" s="2">
        <f ca="1">IFERROR(__xludf.DUMMYFUNCTION("""COMPUTED_VALUE"""),127)</f>
        <v>127</v>
      </c>
      <c r="B128" s="47" t="str">
        <f ca="1">IFERROR(__xludf.DUMMYFUNCTION("""COMPUTED_VALUE"""),"東京農工大学かるた会")</f>
        <v>東京農工大学かるた会</v>
      </c>
      <c r="C128" s="47" t="str">
        <f ca="1">IFERROR(__xludf.DUMMYFUNCTION("""COMPUTED_VALUE"""),"トウキョウノウコウダイガクカルタカイ")</f>
        <v>トウキョウノウコウダイガクカルタカイ</v>
      </c>
      <c r="D128" s="47" t="str">
        <f ca="1">IFERROR(__xludf.DUMMYFUNCTION("""COMPUTED_VALUE"""),"東京都")</f>
        <v>東京都</v>
      </c>
      <c r="E128" s="49">
        <f ca="1">IFERROR(__xludf.DUMMYFUNCTION("""COMPUTED_VALUE"""),116)</f>
        <v>116</v>
      </c>
      <c r="F128" s="47" t="str">
        <f ca="1">IFERROR(__xludf.DUMMYFUNCTION("""COMPUTED_VALUE"""),"関東")</f>
        <v>関東</v>
      </c>
      <c r="G128" s="47"/>
      <c r="H128" s="47"/>
    </row>
    <row r="129" spans="1:8" ht="15.5">
      <c r="A129" s="2">
        <f ca="1">IFERROR(__xludf.DUMMYFUNCTION("""COMPUTED_VALUE"""),128)</f>
        <v>128</v>
      </c>
      <c r="B129" s="47" t="str">
        <f ca="1">IFERROR(__xludf.DUMMYFUNCTION("""COMPUTED_VALUE"""),"東京都高等学校文化連盟")</f>
        <v>東京都高等学校文化連盟</v>
      </c>
      <c r="C129" s="47" t="str">
        <f ca="1">IFERROR(__xludf.DUMMYFUNCTION("""COMPUTED_VALUE"""),"トウキョウトコウトウガッコウブンカレンメイ")</f>
        <v>トウキョウトコウトウガッコウブンカレンメイ</v>
      </c>
      <c r="D129" s="47" t="str">
        <f ca="1">IFERROR(__xludf.DUMMYFUNCTION("""COMPUTED_VALUE"""),"東京都")</f>
        <v>東京都</v>
      </c>
      <c r="E129" s="49">
        <f ca="1">IFERROR(__xludf.DUMMYFUNCTION("""COMPUTED_VALUE"""),117)</f>
        <v>117</v>
      </c>
      <c r="F129" s="47" t="str">
        <f ca="1">IFERROR(__xludf.DUMMYFUNCTION("""COMPUTED_VALUE"""),"関東")</f>
        <v>関東</v>
      </c>
      <c r="G129" s="47"/>
      <c r="H129" s="47"/>
    </row>
    <row r="130" spans="1:8" ht="15.5">
      <c r="A130" s="2">
        <f ca="1">IFERROR(__xludf.DUMMYFUNCTION("""COMPUTED_VALUE"""),129)</f>
        <v>129</v>
      </c>
      <c r="B130" s="47" t="str">
        <f ca="1">IFERROR(__xludf.DUMMYFUNCTION("""COMPUTED_VALUE"""),"東京靖空会")</f>
        <v>東京靖空会</v>
      </c>
      <c r="C130" s="47" t="str">
        <f ca="1">IFERROR(__xludf.DUMMYFUNCTION("""COMPUTED_VALUE"""),"トウキョウセイクウカイ")</f>
        <v>トウキョウセイクウカイ</v>
      </c>
      <c r="D130" s="47" t="str">
        <f ca="1">IFERROR(__xludf.DUMMYFUNCTION("""COMPUTED_VALUE"""),"東京都")</f>
        <v>東京都</v>
      </c>
      <c r="E130" s="49">
        <f ca="1">IFERROR(__xludf.DUMMYFUNCTION("""COMPUTED_VALUE"""),118)</f>
        <v>118</v>
      </c>
      <c r="F130" s="47" t="str">
        <f ca="1">IFERROR(__xludf.DUMMYFUNCTION("""COMPUTED_VALUE"""),"関東")</f>
        <v>関東</v>
      </c>
      <c r="G130" s="47"/>
      <c r="H130" s="47"/>
    </row>
    <row r="131" spans="1:8" ht="15.5">
      <c r="A131" s="2">
        <f ca="1">IFERROR(__xludf.DUMMYFUNCTION("""COMPUTED_VALUE"""),130)</f>
        <v>130</v>
      </c>
      <c r="B131" s="47" t="str">
        <f ca="1">IFERROR(__xludf.DUMMYFUNCTION("""COMPUTED_VALUE"""),"東洋大学かるた会")</f>
        <v>東洋大学かるた会</v>
      </c>
      <c r="C131" s="47" t="str">
        <f ca="1">IFERROR(__xludf.DUMMYFUNCTION("""COMPUTED_VALUE"""),"トウヨウダイガクカルタカイ")</f>
        <v>トウヨウダイガクカルタカイ</v>
      </c>
      <c r="D131" s="47" t="str">
        <f ca="1">IFERROR(__xludf.DUMMYFUNCTION("""COMPUTED_VALUE"""),"東京都")</f>
        <v>東京都</v>
      </c>
      <c r="E131" s="49">
        <f ca="1">IFERROR(__xludf.DUMMYFUNCTION("""COMPUTED_VALUE"""),119)</f>
        <v>119</v>
      </c>
      <c r="F131" s="47" t="str">
        <f ca="1">IFERROR(__xludf.DUMMYFUNCTION("""COMPUTED_VALUE"""),"関東")</f>
        <v>関東</v>
      </c>
      <c r="G131" s="47"/>
      <c r="H131" s="47"/>
    </row>
    <row r="132" spans="1:8" ht="15.5">
      <c r="A132" s="2">
        <f ca="1">IFERROR(__xludf.DUMMYFUNCTION("""COMPUTED_VALUE"""),131)</f>
        <v>131</v>
      </c>
      <c r="B132" s="47" t="str">
        <f ca="1">IFERROR(__xludf.DUMMYFUNCTION("""COMPUTED_VALUE"""),"桜修館かるた会")</f>
        <v>桜修館かるた会</v>
      </c>
      <c r="C132" s="47" t="str">
        <f ca="1">IFERROR(__xludf.DUMMYFUNCTION("""COMPUTED_VALUE"""),"オウシュウカンカルタカイ")</f>
        <v>オウシュウカンカルタカイ</v>
      </c>
      <c r="D132" s="47" t="str">
        <f ca="1">IFERROR(__xludf.DUMMYFUNCTION("""COMPUTED_VALUE"""),"東京都")</f>
        <v>東京都</v>
      </c>
      <c r="E132" s="49">
        <f ca="1">IFERROR(__xludf.DUMMYFUNCTION("""COMPUTED_VALUE"""),120)</f>
        <v>120</v>
      </c>
      <c r="F132" s="47" t="str">
        <f ca="1">IFERROR(__xludf.DUMMYFUNCTION("""COMPUTED_VALUE"""),"関東")</f>
        <v>関東</v>
      </c>
      <c r="G132" s="47"/>
      <c r="H132" s="47"/>
    </row>
    <row r="133" spans="1:8" ht="15.5">
      <c r="A133" s="2">
        <f ca="1">IFERROR(__xludf.DUMMYFUNCTION("""COMPUTED_VALUE"""),132)</f>
        <v>132</v>
      </c>
      <c r="B133" s="47" t="str">
        <f ca="1">IFERROR(__xludf.DUMMYFUNCTION("""COMPUTED_VALUE"""),"法政大学かるた会")</f>
        <v>法政大学かるた会</v>
      </c>
      <c r="C133" s="47" t="str">
        <f ca="1">IFERROR(__xludf.DUMMYFUNCTION("""COMPUTED_VALUE"""),"ホウセイダイガクカルタカイ")</f>
        <v>ホウセイダイガクカルタカイ</v>
      </c>
      <c r="D133" s="47" t="str">
        <f ca="1">IFERROR(__xludf.DUMMYFUNCTION("""COMPUTED_VALUE"""),"東京都")</f>
        <v>東京都</v>
      </c>
      <c r="E133" s="49">
        <f ca="1">IFERROR(__xludf.DUMMYFUNCTION("""COMPUTED_VALUE"""),121)</f>
        <v>121</v>
      </c>
      <c r="F133" s="47" t="str">
        <f ca="1">IFERROR(__xludf.DUMMYFUNCTION("""COMPUTED_VALUE"""),"関東")</f>
        <v>関東</v>
      </c>
      <c r="G133" s="47"/>
      <c r="H133" s="47"/>
    </row>
    <row r="134" spans="1:8" ht="15.5">
      <c r="A134" s="2">
        <f ca="1">IFERROR(__xludf.DUMMYFUNCTION("""COMPUTED_VALUE"""),133)</f>
        <v>133</v>
      </c>
      <c r="B134" s="47" t="str">
        <f ca="1">IFERROR(__xludf.DUMMYFUNCTION("""COMPUTED_VALUE"""),"海城かるた会")</f>
        <v>海城かるた会</v>
      </c>
      <c r="C134" s="47" t="str">
        <f ca="1">IFERROR(__xludf.DUMMYFUNCTION("""COMPUTED_VALUE"""),"カイジョウカルタカイ")</f>
        <v>カイジョウカルタカイ</v>
      </c>
      <c r="D134" s="47" t="str">
        <f ca="1">IFERROR(__xludf.DUMMYFUNCTION("""COMPUTED_VALUE"""),"東京都")</f>
        <v>東京都</v>
      </c>
      <c r="E134" s="49">
        <f ca="1">IFERROR(__xludf.DUMMYFUNCTION("""COMPUTED_VALUE"""),122)</f>
        <v>122</v>
      </c>
      <c r="F134" s="47" t="str">
        <f ca="1">IFERROR(__xludf.DUMMYFUNCTION("""COMPUTED_VALUE"""),"関東")</f>
        <v>関東</v>
      </c>
      <c r="G134" s="47"/>
      <c r="H134" s="47"/>
    </row>
    <row r="135" spans="1:8" ht="15.5">
      <c r="A135" s="2">
        <f ca="1">IFERROR(__xludf.DUMMYFUNCTION("""COMPUTED_VALUE"""),134)</f>
        <v>134</v>
      </c>
      <c r="B135" s="47" t="str">
        <f ca="1">IFERROR(__xludf.DUMMYFUNCTION("""COMPUTED_VALUE"""),"滝野川かるた会")</f>
        <v>滝野川かるた会</v>
      </c>
      <c r="C135" s="47" t="str">
        <f ca="1">IFERROR(__xludf.DUMMYFUNCTION("""COMPUTED_VALUE"""),"タキノガワカルタカイ")</f>
        <v>タキノガワカルタカイ</v>
      </c>
      <c r="D135" s="47" t="str">
        <f ca="1">IFERROR(__xludf.DUMMYFUNCTION("""COMPUTED_VALUE"""),"東京都")</f>
        <v>東京都</v>
      </c>
      <c r="E135" s="49">
        <f ca="1">IFERROR(__xludf.DUMMYFUNCTION("""COMPUTED_VALUE"""),123)</f>
        <v>123</v>
      </c>
      <c r="F135" s="47" t="str">
        <f ca="1">IFERROR(__xludf.DUMMYFUNCTION("""COMPUTED_VALUE"""),"関東")</f>
        <v>関東</v>
      </c>
      <c r="G135" s="47"/>
      <c r="H135" s="47"/>
    </row>
    <row r="136" spans="1:8" ht="15.5">
      <c r="A136" s="2">
        <f ca="1">IFERROR(__xludf.DUMMYFUNCTION("""COMPUTED_VALUE"""),135)</f>
        <v>135</v>
      </c>
      <c r="B136" s="47" t="str">
        <f ca="1">IFERROR(__xludf.DUMMYFUNCTION("""COMPUTED_VALUE"""),"獅子猫かるた会")</f>
        <v>獅子猫かるた会</v>
      </c>
      <c r="C136" s="47" t="str">
        <f ca="1">IFERROR(__xludf.DUMMYFUNCTION("""COMPUTED_VALUE"""),"シシネコカルタカイ")</f>
        <v>シシネコカルタカイ</v>
      </c>
      <c r="D136" s="47" t="str">
        <f ca="1">IFERROR(__xludf.DUMMYFUNCTION("""COMPUTED_VALUE"""),"東京都")</f>
        <v>東京都</v>
      </c>
      <c r="E136" s="49">
        <f ca="1">IFERROR(__xludf.DUMMYFUNCTION("""COMPUTED_VALUE"""),124)</f>
        <v>124</v>
      </c>
      <c r="F136" s="47" t="str">
        <f ca="1">IFERROR(__xludf.DUMMYFUNCTION("""COMPUTED_VALUE"""),"関東")</f>
        <v>関東</v>
      </c>
      <c r="G136" s="47"/>
      <c r="H136" s="47"/>
    </row>
    <row r="137" spans="1:8" ht="15.5">
      <c r="A137" s="2">
        <f ca="1">IFERROR(__xludf.DUMMYFUNCTION("""COMPUTED_VALUE"""),136)</f>
        <v>136</v>
      </c>
      <c r="B137" s="47" t="str">
        <f ca="1">IFERROR(__xludf.DUMMYFUNCTION("""COMPUTED_VALUE"""),"白妙会")</f>
        <v>白妙会</v>
      </c>
      <c r="C137" s="47" t="str">
        <f ca="1">IFERROR(__xludf.DUMMYFUNCTION("""COMPUTED_VALUE"""),"シロタエカイ")</f>
        <v>シロタエカイ</v>
      </c>
      <c r="D137" s="47" t="str">
        <f ca="1">IFERROR(__xludf.DUMMYFUNCTION("""COMPUTED_VALUE"""),"東京都")</f>
        <v>東京都</v>
      </c>
      <c r="E137" s="49">
        <f ca="1">IFERROR(__xludf.DUMMYFUNCTION("""COMPUTED_VALUE"""),125)</f>
        <v>125</v>
      </c>
      <c r="F137" s="47" t="str">
        <f ca="1">IFERROR(__xludf.DUMMYFUNCTION("""COMPUTED_VALUE"""),"関東")</f>
        <v>関東</v>
      </c>
      <c r="G137" s="47"/>
      <c r="H137" s="47"/>
    </row>
    <row r="138" spans="1:8" ht="15.5">
      <c r="A138" s="2">
        <f ca="1">IFERROR(__xludf.DUMMYFUNCTION("""COMPUTED_VALUE"""),137)</f>
        <v>137</v>
      </c>
      <c r="B138" s="47" t="str">
        <f ca="1">IFERROR(__xludf.DUMMYFUNCTION("""COMPUTED_VALUE"""),"白鷗かるた会")</f>
        <v>白鷗かるた会</v>
      </c>
      <c r="C138" s="47" t="str">
        <f ca="1">IFERROR(__xludf.DUMMYFUNCTION("""COMPUTED_VALUE"""),"ハクオウカルタカイ")</f>
        <v>ハクオウカルタカイ</v>
      </c>
      <c r="D138" s="47" t="str">
        <f ca="1">IFERROR(__xludf.DUMMYFUNCTION("""COMPUTED_VALUE"""),"東京都")</f>
        <v>東京都</v>
      </c>
      <c r="E138" s="49">
        <f ca="1">IFERROR(__xludf.DUMMYFUNCTION("""COMPUTED_VALUE"""),126)</f>
        <v>126</v>
      </c>
      <c r="F138" s="47" t="str">
        <f ca="1">IFERROR(__xludf.DUMMYFUNCTION("""COMPUTED_VALUE"""),"関東")</f>
        <v>関東</v>
      </c>
      <c r="G138" s="47"/>
      <c r="H138" s="47"/>
    </row>
    <row r="139" spans="1:8" ht="15.5">
      <c r="A139" s="2">
        <f ca="1">IFERROR(__xludf.DUMMYFUNCTION("""COMPUTED_VALUE"""),138)</f>
        <v>138</v>
      </c>
      <c r="B139" s="47" t="str">
        <f ca="1">IFERROR(__xludf.DUMMYFUNCTION("""COMPUTED_VALUE"""),"目白かるた塾")</f>
        <v>目白かるた塾</v>
      </c>
      <c r="C139" s="47" t="str">
        <f ca="1">IFERROR(__xludf.DUMMYFUNCTION("""COMPUTED_VALUE"""),"メジロカルタジュク")</f>
        <v>メジロカルタジュク</v>
      </c>
      <c r="D139" s="47" t="str">
        <f ca="1">IFERROR(__xludf.DUMMYFUNCTION("""COMPUTED_VALUE"""),"東京都")</f>
        <v>東京都</v>
      </c>
      <c r="E139" s="49">
        <f ca="1">IFERROR(__xludf.DUMMYFUNCTION("""COMPUTED_VALUE"""),127)</f>
        <v>127</v>
      </c>
      <c r="F139" s="47" t="str">
        <f ca="1">IFERROR(__xludf.DUMMYFUNCTION("""COMPUTED_VALUE"""),"関東")</f>
        <v>関東</v>
      </c>
      <c r="G139" s="47"/>
      <c r="H139" s="47"/>
    </row>
    <row r="140" spans="1:8" ht="15.5">
      <c r="A140" s="2">
        <f ca="1">IFERROR(__xludf.DUMMYFUNCTION("""COMPUTED_VALUE"""),139)</f>
        <v>139</v>
      </c>
      <c r="B140" s="47" t="str">
        <f ca="1">IFERROR(__xludf.DUMMYFUNCTION("""COMPUTED_VALUE"""),"秋川かるた会")</f>
        <v>秋川かるた会</v>
      </c>
      <c r="C140" s="47" t="str">
        <f ca="1">IFERROR(__xludf.DUMMYFUNCTION("""COMPUTED_VALUE"""),"アキカワカルタカイ")</f>
        <v>アキカワカルタカイ</v>
      </c>
      <c r="D140" s="47" t="str">
        <f ca="1">IFERROR(__xludf.DUMMYFUNCTION("""COMPUTED_VALUE"""),"東京都")</f>
        <v>東京都</v>
      </c>
      <c r="E140" s="49">
        <f ca="1">IFERROR(__xludf.DUMMYFUNCTION("""COMPUTED_VALUE"""),128)</f>
        <v>128</v>
      </c>
      <c r="F140" s="47" t="str">
        <f ca="1">IFERROR(__xludf.DUMMYFUNCTION("""COMPUTED_VALUE"""),"関東")</f>
        <v>関東</v>
      </c>
      <c r="G140" s="47"/>
      <c r="H140" s="47"/>
    </row>
    <row r="141" spans="1:8" ht="15.5">
      <c r="A141" s="2">
        <f ca="1">IFERROR(__xludf.DUMMYFUNCTION("""COMPUTED_VALUE"""),140)</f>
        <v>140</v>
      </c>
      <c r="B141" s="47" t="str">
        <f ca="1">IFERROR(__xludf.DUMMYFUNCTION("""COMPUTED_VALUE"""),"穎明館かるた会")</f>
        <v>穎明館かるた会</v>
      </c>
      <c r="C141" s="47" t="str">
        <f ca="1">IFERROR(__xludf.DUMMYFUNCTION("""COMPUTED_VALUE"""),"エイメイカンカルタカイ")</f>
        <v>エイメイカンカルタカイ</v>
      </c>
      <c r="D141" s="47" t="str">
        <f ca="1">IFERROR(__xludf.DUMMYFUNCTION("""COMPUTED_VALUE"""),"東京都")</f>
        <v>東京都</v>
      </c>
      <c r="E141" s="49">
        <f ca="1">IFERROR(__xludf.DUMMYFUNCTION("""COMPUTED_VALUE"""),129)</f>
        <v>129</v>
      </c>
      <c r="F141" s="47" t="str">
        <f ca="1">IFERROR(__xludf.DUMMYFUNCTION("""COMPUTED_VALUE"""),"関東")</f>
        <v>関東</v>
      </c>
      <c r="G141" s="47"/>
      <c r="H141" s="47"/>
    </row>
    <row r="142" spans="1:8" ht="15.5">
      <c r="A142" s="2">
        <f ca="1">IFERROR(__xludf.DUMMYFUNCTION("""COMPUTED_VALUE"""),141)</f>
        <v>141</v>
      </c>
      <c r="B142" s="47" t="str">
        <f ca="1">IFERROR(__xludf.DUMMYFUNCTION("""COMPUTED_VALUE"""),"立教大学かるた会")</f>
        <v>立教大学かるた会</v>
      </c>
      <c r="C142" s="47" t="str">
        <f ca="1">IFERROR(__xludf.DUMMYFUNCTION("""COMPUTED_VALUE"""),"リッキョウダイガクカルタカイ")</f>
        <v>リッキョウダイガクカルタカイ</v>
      </c>
      <c r="D142" s="47" t="str">
        <f ca="1">IFERROR(__xludf.DUMMYFUNCTION("""COMPUTED_VALUE"""),"東京都")</f>
        <v>東京都</v>
      </c>
      <c r="E142" s="49">
        <f ca="1">IFERROR(__xludf.DUMMYFUNCTION("""COMPUTED_VALUE"""),130)</f>
        <v>130</v>
      </c>
      <c r="F142" s="47" t="str">
        <f ca="1">IFERROR(__xludf.DUMMYFUNCTION("""COMPUTED_VALUE"""),"関東")</f>
        <v>関東</v>
      </c>
      <c r="G142" s="47"/>
      <c r="H142" s="47"/>
    </row>
    <row r="143" spans="1:8" ht="15.5">
      <c r="A143" s="2">
        <f ca="1">IFERROR(__xludf.DUMMYFUNCTION("""COMPUTED_VALUE"""),142)</f>
        <v>142</v>
      </c>
      <c r="B143" s="47" t="str">
        <f ca="1">IFERROR(__xludf.DUMMYFUNCTION("""COMPUTED_VALUE"""),"筑波大学附属中学・高校かるた会")</f>
        <v>筑波大学附属中学・高校かるた会</v>
      </c>
      <c r="C143" s="47" t="str">
        <f ca="1">IFERROR(__xludf.DUMMYFUNCTION("""COMPUTED_VALUE"""),"ツクバダイガクフゾクチュウガクコウコウカルタカイ")</f>
        <v>ツクバダイガクフゾクチュウガクコウコウカルタカイ</v>
      </c>
      <c r="D143" s="47" t="str">
        <f ca="1">IFERROR(__xludf.DUMMYFUNCTION("""COMPUTED_VALUE"""),"東京都")</f>
        <v>東京都</v>
      </c>
      <c r="E143" s="49">
        <f ca="1">IFERROR(__xludf.DUMMYFUNCTION("""COMPUTED_VALUE"""),131)</f>
        <v>131</v>
      </c>
      <c r="F143" s="47" t="str">
        <f ca="1">IFERROR(__xludf.DUMMYFUNCTION("""COMPUTED_VALUE"""),"関東")</f>
        <v>関東</v>
      </c>
      <c r="G143" s="47"/>
      <c r="H143" s="47"/>
    </row>
    <row r="144" spans="1:8" ht="15.5">
      <c r="A144" s="2">
        <f ca="1">IFERROR(__xludf.DUMMYFUNCTION("""COMPUTED_VALUE"""),143)</f>
        <v>143</v>
      </c>
      <c r="B144" s="47" t="str">
        <f ca="1">IFERROR(__xludf.DUMMYFUNCTION("""COMPUTED_VALUE"""),"結びつくかるた会")</f>
        <v>結びつくかるた会</v>
      </c>
      <c r="C144" s="47" t="str">
        <f ca="1">IFERROR(__xludf.DUMMYFUNCTION("""COMPUTED_VALUE"""),"ムスビツクカルタカイ")</f>
        <v>ムスビツクカルタカイ</v>
      </c>
      <c r="D144" s="47" t="str">
        <f ca="1">IFERROR(__xludf.DUMMYFUNCTION("""COMPUTED_VALUE"""),"東京都")</f>
        <v>東京都</v>
      </c>
      <c r="E144" s="49">
        <f ca="1">IFERROR(__xludf.DUMMYFUNCTION("""COMPUTED_VALUE"""),132)</f>
        <v>132</v>
      </c>
      <c r="F144" s="47" t="str">
        <f ca="1">IFERROR(__xludf.DUMMYFUNCTION("""COMPUTED_VALUE"""),"関東")</f>
        <v>関東</v>
      </c>
      <c r="G144" s="47"/>
      <c r="H144" s="47"/>
    </row>
    <row r="145" spans="1:8" ht="15.5">
      <c r="A145" s="2">
        <f ca="1">IFERROR(__xludf.DUMMYFUNCTION("""COMPUTED_VALUE"""),144)</f>
        <v>144</v>
      </c>
      <c r="B145" s="47" t="str">
        <f ca="1">IFERROR(__xludf.DUMMYFUNCTION("""COMPUTED_VALUE"""),"調布かるたクラブ")</f>
        <v>調布かるたクラブ</v>
      </c>
      <c r="C145" s="47" t="str">
        <f ca="1">IFERROR(__xludf.DUMMYFUNCTION("""COMPUTED_VALUE"""),"チョウフカルタクラブ")</f>
        <v>チョウフカルタクラブ</v>
      </c>
      <c r="D145" s="47" t="str">
        <f ca="1">IFERROR(__xludf.DUMMYFUNCTION("""COMPUTED_VALUE"""),"東京都")</f>
        <v>東京都</v>
      </c>
      <c r="E145" s="49">
        <f ca="1">IFERROR(__xludf.DUMMYFUNCTION("""COMPUTED_VALUE"""),133)</f>
        <v>133</v>
      </c>
      <c r="F145" s="47" t="str">
        <f ca="1">IFERROR(__xludf.DUMMYFUNCTION("""COMPUTED_VALUE"""),"関東")</f>
        <v>関東</v>
      </c>
      <c r="G145" s="47"/>
      <c r="H145" s="47"/>
    </row>
    <row r="146" spans="1:8" ht="15.5">
      <c r="A146" s="2">
        <f ca="1">IFERROR(__xludf.DUMMYFUNCTION("""COMPUTED_VALUE"""),145)</f>
        <v>145</v>
      </c>
      <c r="B146" s="47" t="str">
        <f ca="1">IFERROR(__xludf.DUMMYFUNCTION("""COMPUTED_VALUE"""),"関東第一かるた会")</f>
        <v>関東第一かるた会</v>
      </c>
      <c r="C146" s="47" t="str">
        <f ca="1">IFERROR(__xludf.DUMMYFUNCTION("""COMPUTED_VALUE"""),"カントウダイイチカルタカイ")</f>
        <v>カントウダイイチカルタカイ</v>
      </c>
      <c r="D146" s="47" t="str">
        <f ca="1">IFERROR(__xludf.DUMMYFUNCTION("""COMPUTED_VALUE"""),"東京都")</f>
        <v>東京都</v>
      </c>
      <c r="E146" s="49">
        <f ca="1">IFERROR(__xludf.DUMMYFUNCTION("""COMPUTED_VALUE"""),134)</f>
        <v>134</v>
      </c>
      <c r="F146" s="47" t="str">
        <f ca="1">IFERROR(__xludf.DUMMYFUNCTION("""COMPUTED_VALUE"""),"関東")</f>
        <v>関東</v>
      </c>
      <c r="G146" s="47"/>
      <c r="H146" s="47"/>
    </row>
    <row r="147" spans="1:8" ht="15.5">
      <c r="A147" s="2">
        <f ca="1">IFERROR(__xludf.DUMMYFUNCTION("""COMPUTED_VALUE"""),146)</f>
        <v>146</v>
      </c>
      <c r="B147" s="47" t="str">
        <f ca="1">IFERROR(__xludf.DUMMYFUNCTION("""COMPUTED_VALUE"""),"雲隠れ会")</f>
        <v>雲隠れ会</v>
      </c>
      <c r="C147" s="47" t="str">
        <f ca="1">IFERROR(__xludf.DUMMYFUNCTION("""COMPUTED_VALUE"""),"クモガクレカイ")</f>
        <v>クモガクレカイ</v>
      </c>
      <c r="D147" s="47" t="str">
        <f ca="1">IFERROR(__xludf.DUMMYFUNCTION("""COMPUTED_VALUE"""),"東京都")</f>
        <v>東京都</v>
      </c>
      <c r="E147" s="49">
        <f ca="1">IFERROR(__xludf.DUMMYFUNCTION("""COMPUTED_VALUE"""),135)</f>
        <v>135</v>
      </c>
      <c r="F147" s="47" t="str">
        <f ca="1">IFERROR(__xludf.DUMMYFUNCTION("""COMPUTED_VALUE"""),"関東")</f>
        <v>関東</v>
      </c>
      <c r="G147" s="47"/>
      <c r="H147" s="47"/>
    </row>
    <row r="148" spans="1:8" ht="15.5">
      <c r="A148" s="2">
        <f ca="1">IFERROR(__xludf.DUMMYFUNCTION("""COMPUTED_VALUE"""),147)</f>
        <v>147</v>
      </c>
      <c r="B148" s="47" t="str">
        <f ca="1">IFERROR(__xludf.DUMMYFUNCTION("""COMPUTED_VALUE"""),"青山学院大学かるた会")</f>
        <v>青山学院大学かるた会</v>
      </c>
      <c r="C148" s="47" t="str">
        <f ca="1">IFERROR(__xludf.DUMMYFUNCTION("""COMPUTED_VALUE"""),"アオヤマガクインダイガクカルタカイ")</f>
        <v>アオヤマガクインダイガクカルタカイ</v>
      </c>
      <c r="D148" s="47" t="str">
        <f ca="1">IFERROR(__xludf.DUMMYFUNCTION("""COMPUTED_VALUE"""),"東京都")</f>
        <v>東京都</v>
      </c>
      <c r="E148" s="49">
        <f ca="1">IFERROR(__xludf.DUMMYFUNCTION("""COMPUTED_VALUE"""),136)</f>
        <v>136</v>
      </c>
      <c r="F148" s="47" t="str">
        <f ca="1">IFERROR(__xludf.DUMMYFUNCTION("""COMPUTED_VALUE"""),"関東")</f>
        <v>関東</v>
      </c>
      <c r="G148" s="47"/>
      <c r="H148" s="47"/>
    </row>
    <row r="149" spans="1:8" ht="15.5">
      <c r="A149" s="2">
        <f ca="1">IFERROR(__xludf.DUMMYFUNCTION("""COMPUTED_VALUE"""),148)</f>
        <v>148</v>
      </c>
      <c r="B149" s="47" t="str">
        <f ca="1">IFERROR(__xludf.DUMMYFUNCTION("""COMPUTED_VALUE"""),"青稜かるた会")</f>
        <v>青稜かるた会</v>
      </c>
      <c r="C149" s="47" t="str">
        <f ca="1">IFERROR(__xludf.DUMMYFUNCTION("""COMPUTED_VALUE"""),"セイリョウカルタカイ")</f>
        <v>セイリョウカルタカイ</v>
      </c>
      <c r="D149" s="47" t="str">
        <f ca="1">IFERROR(__xludf.DUMMYFUNCTION("""COMPUTED_VALUE"""),"東京都")</f>
        <v>東京都</v>
      </c>
      <c r="E149" s="49">
        <f ca="1">IFERROR(__xludf.DUMMYFUNCTION("""COMPUTED_VALUE"""),137)</f>
        <v>137</v>
      </c>
      <c r="F149" s="47" t="str">
        <f ca="1">IFERROR(__xludf.DUMMYFUNCTION("""COMPUTED_VALUE"""),"関東")</f>
        <v>関東</v>
      </c>
      <c r="G149" s="47"/>
      <c r="H149" s="47"/>
    </row>
    <row r="150" spans="1:8" ht="15.5">
      <c r="A150" s="2">
        <f ca="1">IFERROR(__xludf.DUMMYFUNCTION("""COMPUTED_VALUE"""),149)</f>
        <v>149</v>
      </c>
      <c r="B150" s="47" t="str">
        <f ca="1">IFERROR(__xludf.DUMMYFUNCTION("""COMPUTED_VALUE"""),"駒場かるた会")</f>
        <v>駒場かるた会</v>
      </c>
      <c r="C150" s="47" t="str">
        <f ca="1">IFERROR(__xludf.DUMMYFUNCTION("""COMPUTED_VALUE"""),"コマバカルタカイ")</f>
        <v>コマバカルタカイ</v>
      </c>
      <c r="D150" s="47" t="str">
        <f ca="1">IFERROR(__xludf.DUMMYFUNCTION("""COMPUTED_VALUE"""),"東京都")</f>
        <v>東京都</v>
      </c>
      <c r="E150" s="49">
        <f ca="1">IFERROR(__xludf.DUMMYFUNCTION("""COMPUTED_VALUE"""),138)</f>
        <v>138</v>
      </c>
      <c r="F150" s="47" t="str">
        <f ca="1">IFERROR(__xludf.DUMMYFUNCTION("""COMPUTED_VALUE"""),"関東")</f>
        <v>関東</v>
      </c>
      <c r="G150" s="47"/>
      <c r="H150" s="47"/>
    </row>
    <row r="151" spans="1:8" ht="15.5">
      <c r="A151" s="2">
        <f ca="1">IFERROR(__xludf.DUMMYFUNCTION("""COMPUTED_VALUE"""),150)</f>
        <v>150</v>
      </c>
      <c r="B151" s="47" t="str">
        <f ca="1">IFERROR(__xludf.DUMMYFUNCTION("""COMPUTED_VALUE"""),"さがみ野会")</f>
        <v>さがみ野会</v>
      </c>
      <c r="C151" s="47" t="str">
        <f ca="1">IFERROR(__xludf.DUMMYFUNCTION("""COMPUTED_VALUE"""),"サガミノカイ")</f>
        <v>サガミノカイ</v>
      </c>
      <c r="D151" s="47" t="str">
        <f ca="1">IFERROR(__xludf.DUMMYFUNCTION("""COMPUTED_VALUE"""),"神奈川県")</f>
        <v>神奈川県</v>
      </c>
      <c r="E151" s="49">
        <f ca="1">IFERROR(__xludf.DUMMYFUNCTION("""COMPUTED_VALUE"""),139)</f>
        <v>139</v>
      </c>
      <c r="F151" s="47" t="str">
        <f ca="1">IFERROR(__xludf.DUMMYFUNCTION("""COMPUTED_VALUE"""),"関東")</f>
        <v>関東</v>
      </c>
      <c r="G151" s="47"/>
      <c r="H151" s="47"/>
    </row>
    <row r="152" spans="1:8" ht="15.5">
      <c r="A152" s="2">
        <f ca="1">IFERROR(__xludf.DUMMYFUNCTION("""COMPUTED_VALUE"""),151)</f>
        <v>151</v>
      </c>
      <c r="B152" s="47" t="str">
        <f ca="1">IFERROR(__xludf.DUMMYFUNCTION("""COMPUTED_VALUE"""),"さわやかるた会")</f>
        <v>さわやかるた会</v>
      </c>
      <c r="C152" s="47" t="str">
        <f ca="1">IFERROR(__xludf.DUMMYFUNCTION("""COMPUTED_VALUE"""),"サワヤカルタカイ")</f>
        <v>サワヤカルタカイ</v>
      </c>
      <c r="D152" s="47" t="str">
        <f ca="1">IFERROR(__xludf.DUMMYFUNCTION("""COMPUTED_VALUE"""),"神奈川県")</f>
        <v>神奈川県</v>
      </c>
      <c r="E152" s="49">
        <f ca="1">IFERROR(__xludf.DUMMYFUNCTION("""COMPUTED_VALUE"""),140)</f>
        <v>140</v>
      </c>
      <c r="F152" s="47" t="str">
        <f ca="1">IFERROR(__xludf.DUMMYFUNCTION("""COMPUTED_VALUE"""),"関東")</f>
        <v>関東</v>
      </c>
      <c r="G152" s="47"/>
      <c r="H152" s="47"/>
    </row>
    <row r="153" spans="1:8" ht="15.5">
      <c r="A153" s="2">
        <f ca="1">IFERROR(__xludf.DUMMYFUNCTION("""COMPUTED_VALUE"""),152)</f>
        <v>152</v>
      </c>
      <c r="B153" s="47" t="str">
        <f ca="1">IFERROR(__xludf.DUMMYFUNCTION("""COMPUTED_VALUE"""),"ひさかた会")</f>
        <v>ひさかた会</v>
      </c>
      <c r="C153" s="47" t="str">
        <f ca="1">IFERROR(__xludf.DUMMYFUNCTION("""COMPUTED_VALUE"""),"ヒサカタカイ")</f>
        <v>ヒサカタカイ</v>
      </c>
      <c r="D153" s="47" t="str">
        <f ca="1">IFERROR(__xludf.DUMMYFUNCTION("""COMPUTED_VALUE"""),"神奈川県")</f>
        <v>神奈川県</v>
      </c>
      <c r="E153" s="49">
        <f ca="1">IFERROR(__xludf.DUMMYFUNCTION("""COMPUTED_VALUE"""),141)</f>
        <v>141</v>
      </c>
      <c r="F153" s="47" t="str">
        <f ca="1">IFERROR(__xludf.DUMMYFUNCTION("""COMPUTED_VALUE"""),"関東")</f>
        <v>関東</v>
      </c>
      <c r="G153" s="47"/>
      <c r="H153" s="47"/>
    </row>
    <row r="154" spans="1:8" ht="15.5">
      <c r="A154" s="2">
        <f ca="1">IFERROR(__xludf.DUMMYFUNCTION("""COMPUTED_VALUE"""),153)</f>
        <v>153</v>
      </c>
      <c r="B154" s="47" t="str">
        <f ca="1">IFERROR(__xludf.DUMMYFUNCTION("""COMPUTED_VALUE"""),"をだまき会")</f>
        <v>をだまき会</v>
      </c>
      <c r="C154" s="47" t="str">
        <f ca="1">IFERROR(__xludf.DUMMYFUNCTION("""COMPUTED_VALUE"""),"ヲダマキカイ")</f>
        <v>ヲダマキカイ</v>
      </c>
      <c r="D154" s="47" t="str">
        <f ca="1">IFERROR(__xludf.DUMMYFUNCTION("""COMPUTED_VALUE"""),"神奈川県")</f>
        <v>神奈川県</v>
      </c>
      <c r="E154" s="49">
        <f ca="1">IFERROR(__xludf.DUMMYFUNCTION("""COMPUTED_VALUE"""),142)</f>
        <v>142</v>
      </c>
      <c r="F154" s="47" t="str">
        <f ca="1">IFERROR(__xludf.DUMMYFUNCTION("""COMPUTED_VALUE"""),"関東")</f>
        <v>関東</v>
      </c>
      <c r="G154" s="47"/>
      <c r="H154" s="47"/>
    </row>
    <row r="155" spans="1:8" ht="15.5">
      <c r="A155" s="2">
        <f ca="1">IFERROR(__xludf.DUMMYFUNCTION("""COMPUTED_VALUE"""),154)</f>
        <v>154</v>
      </c>
      <c r="B155" s="47" t="str">
        <f ca="1">IFERROR(__xludf.DUMMYFUNCTION("""COMPUTED_VALUE"""),"中央大学附属横浜中学・高等学校")</f>
        <v>中央大学附属横浜中学・高等学校</v>
      </c>
      <c r="C155" s="47" t="str">
        <f ca="1">IFERROR(__xludf.DUMMYFUNCTION("""COMPUTED_VALUE"""),"チュウオウダイガクフゾクヨコハマチュウガクコウトウガッコウ")</f>
        <v>チュウオウダイガクフゾクヨコハマチュウガクコウトウガッコウ</v>
      </c>
      <c r="D155" s="47" t="str">
        <f ca="1">IFERROR(__xludf.DUMMYFUNCTION("""COMPUTED_VALUE"""),"神奈川県")</f>
        <v>神奈川県</v>
      </c>
      <c r="E155" s="49">
        <f ca="1">IFERROR(__xludf.DUMMYFUNCTION("""COMPUTED_VALUE"""),143)</f>
        <v>143</v>
      </c>
      <c r="F155" s="47" t="str">
        <f ca="1">IFERROR(__xludf.DUMMYFUNCTION("""COMPUTED_VALUE"""),"関東")</f>
        <v>関東</v>
      </c>
      <c r="G155" s="47"/>
      <c r="H155" s="47"/>
    </row>
    <row r="156" spans="1:8" ht="15.5">
      <c r="A156" s="2">
        <f ca="1">IFERROR(__xludf.DUMMYFUNCTION("""COMPUTED_VALUE"""),155)</f>
        <v>155</v>
      </c>
      <c r="B156" s="47" t="str">
        <f ca="1">IFERROR(__xludf.DUMMYFUNCTION("""COMPUTED_VALUE"""),"伊勢原みちのく会")</f>
        <v>伊勢原みちのく会</v>
      </c>
      <c r="C156" s="47" t="str">
        <f ca="1">IFERROR(__xludf.DUMMYFUNCTION("""COMPUTED_VALUE"""),"イセハラミチノクカイ")</f>
        <v>イセハラミチノクカイ</v>
      </c>
      <c r="D156" s="47" t="str">
        <f ca="1">IFERROR(__xludf.DUMMYFUNCTION("""COMPUTED_VALUE"""),"神奈川県")</f>
        <v>神奈川県</v>
      </c>
      <c r="E156" s="49">
        <f ca="1">IFERROR(__xludf.DUMMYFUNCTION("""COMPUTED_VALUE"""),144)</f>
        <v>144</v>
      </c>
      <c r="F156" s="47" t="str">
        <f ca="1">IFERROR(__xludf.DUMMYFUNCTION("""COMPUTED_VALUE"""),"関東")</f>
        <v>関東</v>
      </c>
      <c r="G156" s="47"/>
      <c r="H156" s="47"/>
    </row>
    <row r="157" spans="1:8" ht="15.5">
      <c r="A157" s="2">
        <f ca="1">IFERROR(__xludf.DUMMYFUNCTION("""COMPUTED_VALUE"""),156)</f>
        <v>156</v>
      </c>
      <c r="B157" s="47" t="str">
        <f ca="1">IFERROR(__xludf.DUMMYFUNCTION("""COMPUTED_VALUE"""),"小田原かささぎ会")</f>
        <v>小田原かささぎ会</v>
      </c>
      <c r="C157" s="47" t="str">
        <f ca="1">IFERROR(__xludf.DUMMYFUNCTION("""COMPUTED_VALUE"""),"オダワラカササギカイ")</f>
        <v>オダワラカササギカイ</v>
      </c>
      <c r="D157" s="47" t="str">
        <f ca="1">IFERROR(__xludf.DUMMYFUNCTION("""COMPUTED_VALUE"""),"神奈川県")</f>
        <v>神奈川県</v>
      </c>
      <c r="E157" s="49">
        <f ca="1">IFERROR(__xludf.DUMMYFUNCTION("""COMPUTED_VALUE"""),145)</f>
        <v>145</v>
      </c>
      <c r="F157" s="47" t="str">
        <f ca="1">IFERROR(__xludf.DUMMYFUNCTION("""COMPUTED_VALUE"""),"関東")</f>
        <v>関東</v>
      </c>
      <c r="G157" s="47"/>
      <c r="H157" s="47"/>
    </row>
    <row r="158" spans="1:8" ht="15.5">
      <c r="A158" s="2">
        <f ca="1">IFERROR(__xludf.DUMMYFUNCTION("""COMPUTED_VALUE"""),157)</f>
        <v>157</v>
      </c>
      <c r="B158" s="47" t="str">
        <f ca="1">IFERROR(__xludf.DUMMYFUNCTION("""COMPUTED_VALUE"""),"川崎かるた会")</f>
        <v>川崎かるた会</v>
      </c>
      <c r="C158" s="47" t="str">
        <f ca="1">IFERROR(__xludf.DUMMYFUNCTION("""COMPUTED_VALUE"""),"カワサキカルタカイ")</f>
        <v>カワサキカルタカイ</v>
      </c>
      <c r="D158" s="47" t="str">
        <f ca="1">IFERROR(__xludf.DUMMYFUNCTION("""COMPUTED_VALUE"""),"神奈川県")</f>
        <v>神奈川県</v>
      </c>
      <c r="E158" s="49">
        <f ca="1">IFERROR(__xludf.DUMMYFUNCTION("""COMPUTED_VALUE"""),146)</f>
        <v>146</v>
      </c>
      <c r="F158" s="47" t="str">
        <f ca="1">IFERROR(__xludf.DUMMYFUNCTION("""COMPUTED_VALUE"""),"関東")</f>
        <v>関東</v>
      </c>
      <c r="G158" s="47"/>
      <c r="H158" s="47"/>
    </row>
    <row r="159" spans="1:8" ht="15.5">
      <c r="A159" s="2">
        <f ca="1">IFERROR(__xludf.DUMMYFUNCTION("""COMPUTED_VALUE"""),158)</f>
        <v>158</v>
      </c>
      <c r="B159" s="47" t="str">
        <f ca="1">IFERROR(__xludf.DUMMYFUNCTION("""COMPUTED_VALUE"""),"慶應湘南藤沢かるた会")</f>
        <v>慶應湘南藤沢かるた会</v>
      </c>
      <c r="C159" s="47" t="str">
        <f ca="1">IFERROR(__xludf.DUMMYFUNCTION("""COMPUTED_VALUE"""),"ケイオウショウナンフジサワカルタカイ")</f>
        <v>ケイオウショウナンフジサワカルタカイ</v>
      </c>
      <c r="D159" s="47" t="str">
        <f ca="1">IFERROR(__xludf.DUMMYFUNCTION("""COMPUTED_VALUE"""),"神奈川県")</f>
        <v>神奈川県</v>
      </c>
      <c r="E159" s="49">
        <f ca="1">IFERROR(__xludf.DUMMYFUNCTION("""COMPUTED_VALUE"""),147)</f>
        <v>147</v>
      </c>
      <c r="F159" s="47" t="str">
        <f ca="1">IFERROR(__xludf.DUMMYFUNCTION("""COMPUTED_VALUE"""),"関東")</f>
        <v>関東</v>
      </c>
      <c r="G159" s="47"/>
      <c r="H159" s="47"/>
    </row>
    <row r="160" spans="1:8" ht="15.5">
      <c r="A160" s="2">
        <f ca="1">IFERROR(__xludf.DUMMYFUNCTION("""COMPUTED_VALUE"""),159)</f>
        <v>159</v>
      </c>
      <c r="B160" s="47" t="str">
        <f ca="1">IFERROR(__xludf.DUMMYFUNCTION("""COMPUTED_VALUE"""),"春音会")</f>
        <v>春音会</v>
      </c>
      <c r="C160" s="47" t="str">
        <f ca="1">IFERROR(__xludf.DUMMYFUNCTION("""COMPUTED_VALUE"""),"ハルネカイ")</f>
        <v>ハルネカイ</v>
      </c>
      <c r="D160" s="47" t="str">
        <f ca="1">IFERROR(__xludf.DUMMYFUNCTION("""COMPUTED_VALUE"""),"神奈川県")</f>
        <v>神奈川県</v>
      </c>
      <c r="E160" s="49">
        <f ca="1">IFERROR(__xludf.DUMMYFUNCTION("""COMPUTED_VALUE"""),148)</f>
        <v>148</v>
      </c>
      <c r="F160" s="47" t="str">
        <f ca="1">IFERROR(__xludf.DUMMYFUNCTION("""COMPUTED_VALUE"""),"関東")</f>
        <v>関東</v>
      </c>
      <c r="G160" s="47"/>
      <c r="H160" s="47"/>
    </row>
    <row r="161" spans="1:8" ht="15.5">
      <c r="A161" s="2">
        <f ca="1">IFERROR(__xludf.DUMMYFUNCTION("""COMPUTED_VALUE"""),160)</f>
        <v>160</v>
      </c>
      <c r="B161" s="47" t="str">
        <f ca="1">IFERROR(__xludf.DUMMYFUNCTION("""COMPUTED_VALUE"""),"桐光学園かるた会")</f>
        <v>桐光学園かるた会</v>
      </c>
      <c r="C161" s="47" t="str">
        <f ca="1">IFERROR(__xludf.DUMMYFUNCTION("""COMPUTED_VALUE"""),"トウコウガクエンカルタカイ")</f>
        <v>トウコウガクエンカルタカイ</v>
      </c>
      <c r="D161" s="47" t="str">
        <f ca="1">IFERROR(__xludf.DUMMYFUNCTION("""COMPUTED_VALUE"""),"神奈川県")</f>
        <v>神奈川県</v>
      </c>
      <c r="E161" s="49">
        <f ca="1">IFERROR(__xludf.DUMMYFUNCTION("""COMPUTED_VALUE"""),149)</f>
        <v>149</v>
      </c>
      <c r="F161" s="47" t="str">
        <f ca="1">IFERROR(__xludf.DUMMYFUNCTION("""COMPUTED_VALUE"""),"関東")</f>
        <v>関東</v>
      </c>
      <c r="G161" s="47"/>
      <c r="H161" s="47"/>
    </row>
    <row r="162" spans="1:8" ht="15.5">
      <c r="A162" s="2">
        <f ca="1">IFERROR(__xludf.DUMMYFUNCTION("""COMPUTED_VALUE"""),161)</f>
        <v>161</v>
      </c>
      <c r="B162" s="47" t="str">
        <f ca="1">IFERROR(__xludf.DUMMYFUNCTION("""COMPUTED_VALUE"""),"横国かるた会")</f>
        <v>横国かるた会</v>
      </c>
      <c r="C162" s="47" t="str">
        <f ca="1">IFERROR(__xludf.DUMMYFUNCTION("""COMPUTED_VALUE"""),"ヨココクカルタカイ")</f>
        <v>ヨココクカルタカイ</v>
      </c>
      <c r="D162" s="47" t="str">
        <f ca="1">IFERROR(__xludf.DUMMYFUNCTION("""COMPUTED_VALUE"""),"神奈川県")</f>
        <v>神奈川県</v>
      </c>
      <c r="E162" s="49">
        <f ca="1">IFERROR(__xludf.DUMMYFUNCTION("""COMPUTED_VALUE"""),150)</f>
        <v>150</v>
      </c>
      <c r="F162" s="47" t="str">
        <f ca="1">IFERROR(__xludf.DUMMYFUNCTION("""COMPUTED_VALUE"""),"関東")</f>
        <v>関東</v>
      </c>
      <c r="G162" s="47"/>
      <c r="H162" s="47"/>
    </row>
    <row r="163" spans="1:8" ht="15.5">
      <c r="A163" s="2">
        <f ca="1">IFERROR(__xludf.DUMMYFUNCTION("""COMPUTED_VALUE"""),162)</f>
        <v>162</v>
      </c>
      <c r="B163" s="47" t="str">
        <f ca="1">IFERROR(__xludf.DUMMYFUNCTION("""COMPUTED_VALUE"""),"横浜市立大学かるた会")</f>
        <v>横浜市立大学かるた会</v>
      </c>
      <c r="C163" s="47" t="str">
        <f ca="1">IFERROR(__xludf.DUMMYFUNCTION("""COMPUTED_VALUE"""),"ヨコハマシリツダイガクカルタカイ")</f>
        <v>ヨコハマシリツダイガクカルタカイ</v>
      </c>
      <c r="D163" s="47" t="str">
        <f ca="1">IFERROR(__xludf.DUMMYFUNCTION("""COMPUTED_VALUE"""),"神奈川県")</f>
        <v>神奈川県</v>
      </c>
      <c r="E163" s="49">
        <f ca="1">IFERROR(__xludf.DUMMYFUNCTION("""COMPUTED_VALUE"""),151)</f>
        <v>151</v>
      </c>
      <c r="F163" s="47" t="str">
        <f ca="1">IFERROR(__xludf.DUMMYFUNCTION("""COMPUTED_VALUE"""),"関東")</f>
        <v>関東</v>
      </c>
      <c r="G163" s="47"/>
      <c r="H163" s="47"/>
    </row>
    <row r="164" spans="1:8" ht="15.5">
      <c r="A164" s="2">
        <f ca="1">IFERROR(__xludf.DUMMYFUNCTION("""COMPUTED_VALUE"""),163)</f>
        <v>163</v>
      </c>
      <c r="B164" s="47" t="str">
        <f ca="1">IFERROR(__xludf.DUMMYFUNCTION("""COMPUTED_VALUE"""),"横浜隼会")</f>
        <v>横浜隼会</v>
      </c>
      <c r="C164" s="47" t="str">
        <f ca="1">IFERROR(__xludf.DUMMYFUNCTION("""COMPUTED_VALUE"""),"ヨコハマハヤブサカイ")</f>
        <v>ヨコハマハヤブサカイ</v>
      </c>
      <c r="D164" s="47" t="str">
        <f ca="1">IFERROR(__xludf.DUMMYFUNCTION("""COMPUTED_VALUE"""),"神奈川県")</f>
        <v>神奈川県</v>
      </c>
      <c r="E164" s="49">
        <f ca="1">IFERROR(__xludf.DUMMYFUNCTION("""COMPUTED_VALUE"""),152)</f>
        <v>152</v>
      </c>
      <c r="F164" s="47" t="str">
        <f ca="1">IFERROR(__xludf.DUMMYFUNCTION("""COMPUTED_VALUE"""),"関東")</f>
        <v>関東</v>
      </c>
      <c r="G164" s="47"/>
      <c r="H164" s="47"/>
    </row>
    <row r="165" spans="1:8" ht="15.5">
      <c r="A165" s="2">
        <f ca="1">IFERROR(__xludf.DUMMYFUNCTION("""COMPUTED_VALUE"""),164)</f>
        <v>164</v>
      </c>
      <c r="B165" s="47" t="str">
        <f ca="1">IFERROR(__xludf.DUMMYFUNCTION("""COMPUTED_VALUE"""),"海老名しらざぎ会")</f>
        <v>海老名しらざぎ会</v>
      </c>
      <c r="C165" s="47" t="str">
        <f ca="1">IFERROR(__xludf.DUMMYFUNCTION("""COMPUTED_VALUE"""),"エビナシラザギカイ")</f>
        <v>エビナシラザギカイ</v>
      </c>
      <c r="D165" s="47" t="str">
        <f ca="1">IFERROR(__xludf.DUMMYFUNCTION("""COMPUTED_VALUE"""),"神奈川県")</f>
        <v>神奈川県</v>
      </c>
      <c r="E165" s="49">
        <f ca="1">IFERROR(__xludf.DUMMYFUNCTION("""COMPUTED_VALUE"""),153)</f>
        <v>153</v>
      </c>
      <c r="F165" s="47" t="str">
        <f ca="1">IFERROR(__xludf.DUMMYFUNCTION("""COMPUTED_VALUE"""),"関東")</f>
        <v>関東</v>
      </c>
      <c r="G165" s="47"/>
      <c r="H165" s="47"/>
    </row>
    <row r="166" spans="1:8" ht="15.5">
      <c r="A166" s="2">
        <f ca="1">IFERROR(__xludf.DUMMYFUNCTION("""COMPUTED_VALUE"""),165)</f>
        <v>165</v>
      </c>
      <c r="B166" s="47" t="str">
        <f ca="1">IFERROR(__xludf.DUMMYFUNCTION("""COMPUTED_VALUE"""),"湘南かるた会")</f>
        <v>湘南かるた会</v>
      </c>
      <c r="C166" s="47" t="str">
        <f ca="1">IFERROR(__xludf.DUMMYFUNCTION("""COMPUTED_VALUE"""),"ショウナンカルタカイ")</f>
        <v>ショウナンカルタカイ</v>
      </c>
      <c r="D166" s="47" t="str">
        <f ca="1">IFERROR(__xludf.DUMMYFUNCTION("""COMPUTED_VALUE"""),"神奈川県")</f>
        <v>神奈川県</v>
      </c>
      <c r="E166" s="49">
        <f ca="1">IFERROR(__xludf.DUMMYFUNCTION("""COMPUTED_VALUE"""),154)</f>
        <v>154</v>
      </c>
      <c r="F166" s="47" t="str">
        <f ca="1">IFERROR(__xludf.DUMMYFUNCTION("""COMPUTED_VALUE"""),"関東")</f>
        <v>関東</v>
      </c>
      <c r="G166" s="47"/>
      <c r="H166" s="47"/>
    </row>
    <row r="167" spans="1:8" ht="15.5">
      <c r="A167" s="2">
        <f ca="1">IFERROR(__xludf.DUMMYFUNCTION("""COMPUTED_VALUE"""),166)</f>
        <v>166</v>
      </c>
      <c r="B167" s="47" t="str">
        <f ca="1">IFERROR(__xludf.DUMMYFUNCTION("""COMPUTED_VALUE"""),"珈房かるた会")</f>
        <v>珈房かるた会</v>
      </c>
      <c r="C167" s="47" t="str">
        <f ca="1">IFERROR(__xludf.DUMMYFUNCTION("""COMPUTED_VALUE"""),"カボウカルタカイ")</f>
        <v>カボウカルタカイ</v>
      </c>
      <c r="D167" s="47" t="str">
        <f ca="1">IFERROR(__xludf.DUMMYFUNCTION("""COMPUTED_VALUE"""),"神奈川県")</f>
        <v>神奈川県</v>
      </c>
      <c r="E167" s="49">
        <f ca="1">IFERROR(__xludf.DUMMYFUNCTION("""COMPUTED_VALUE"""),155)</f>
        <v>155</v>
      </c>
      <c r="F167" s="47" t="str">
        <f ca="1">IFERROR(__xludf.DUMMYFUNCTION("""COMPUTED_VALUE"""),"関東")</f>
        <v>関東</v>
      </c>
      <c r="G167" s="47"/>
      <c r="H167" s="47"/>
    </row>
    <row r="168" spans="1:8" ht="15.5">
      <c r="A168" s="2">
        <f ca="1">IFERROR(__xludf.DUMMYFUNCTION("""COMPUTED_VALUE"""),167)</f>
        <v>167</v>
      </c>
      <c r="B168" s="47" t="str">
        <f ca="1">IFERROR(__xludf.DUMMYFUNCTION("""COMPUTED_VALUE"""),"相模女子大学かるた会")</f>
        <v>相模女子大学かるた会</v>
      </c>
      <c r="C168" s="47" t="str">
        <f ca="1">IFERROR(__xludf.DUMMYFUNCTION("""COMPUTED_VALUE"""),"サガミジョシダイガクカルタカイ")</f>
        <v>サガミジョシダイガクカルタカイ</v>
      </c>
      <c r="D168" s="47" t="str">
        <f ca="1">IFERROR(__xludf.DUMMYFUNCTION("""COMPUTED_VALUE"""),"神奈川県")</f>
        <v>神奈川県</v>
      </c>
      <c r="E168" s="49">
        <f ca="1">IFERROR(__xludf.DUMMYFUNCTION("""COMPUTED_VALUE"""),156)</f>
        <v>156</v>
      </c>
      <c r="F168" s="47" t="str">
        <f ca="1">IFERROR(__xludf.DUMMYFUNCTION("""COMPUTED_VALUE"""),"関東")</f>
        <v>関東</v>
      </c>
      <c r="G168" s="47"/>
      <c r="H168" s="47"/>
    </row>
    <row r="169" spans="1:8" ht="15.5">
      <c r="A169" s="2">
        <f ca="1">IFERROR(__xludf.DUMMYFUNCTION("""COMPUTED_VALUE"""),168)</f>
        <v>168</v>
      </c>
      <c r="B169" s="47" t="str">
        <f ca="1">IFERROR(__xludf.DUMMYFUNCTION("""COMPUTED_VALUE"""),"神奈川県高等学校文化連盟")</f>
        <v>神奈川県高等学校文化連盟</v>
      </c>
      <c r="C169" s="47" t="str">
        <f ca="1">IFERROR(__xludf.DUMMYFUNCTION("""COMPUTED_VALUE"""),"カナガワケンコウトウガッコウブンカレンメイ")</f>
        <v>カナガワケンコウトウガッコウブンカレンメイ</v>
      </c>
      <c r="D169" s="47" t="str">
        <f ca="1">IFERROR(__xludf.DUMMYFUNCTION("""COMPUTED_VALUE"""),"神奈川県")</f>
        <v>神奈川県</v>
      </c>
      <c r="E169" s="49">
        <f ca="1">IFERROR(__xludf.DUMMYFUNCTION("""COMPUTED_VALUE"""),157)</f>
        <v>157</v>
      </c>
      <c r="F169" s="47" t="str">
        <f ca="1">IFERROR(__xludf.DUMMYFUNCTION("""COMPUTED_VALUE"""),"関東")</f>
        <v>関東</v>
      </c>
      <c r="G169" s="47"/>
      <c r="H169" s="47"/>
    </row>
    <row r="170" spans="1:8" ht="15.5">
      <c r="A170" s="2">
        <f ca="1">IFERROR(__xludf.DUMMYFUNCTION("""COMPUTED_VALUE"""),169)</f>
        <v>169</v>
      </c>
      <c r="B170" s="47" t="str">
        <f ca="1">IFERROR(__xludf.DUMMYFUNCTION("""COMPUTED_VALUE"""),"茅ヶ崎さざなみ会")</f>
        <v>茅ヶ崎さざなみ会</v>
      </c>
      <c r="C170" s="47" t="str">
        <f ca="1">IFERROR(__xludf.DUMMYFUNCTION("""COMPUTED_VALUE"""),"チガサキサザナミカイ")</f>
        <v>チガサキサザナミカイ</v>
      </c>
      <c r="D170" s="47" t="str">
        <f ca="1">IFERROR(__xludf.DUMMYFUNCTION("""COMPUTED_VALUE"""),"神奈川県")</f>
        <v>神奈川県</v>
      </c>
      <c r="E170" s="49">
        <f ca="1">IFERROR(__xludf.DUMMYFUNCTION("""COMPUTED_VALUE"""),158)</f>
        <v>158</v>
      </c>
      <c r="F170" s="47" t="str">
        <f ca="1">IFERROR(__xludf.DUMMYFUNCTION("""COMPUTED_VALUE"""),"関東")</f>
        <v>関東</v>
      </c>
      <c r="G170" s="47"/>
      <c r="H170" s="47"/>
    </row>
    <row r="171" spans="1:8" ht="15.5">
      <c r="A171" s="2">
        <f ca="1">IFERROR(__xludf.DUMMYFUNCTION("""COMPUTED_VALUE"""),170)</f>
        <v>170</v>
      </c>
      <c r="B171" s="47" t="str">
        <f ca="1">IFERROR(__xludf.DUMMYFUNCTION("""COMPUTED_VALUE"""),"藤沢かるた会")</f>
        <v>藤沢かるた会</v>
      </c>
      <c r="C171" s="47" t="str">
        <f ca="1">IFERROR(__xludf.DUMMYFUNCTION("""COMPUTED_VALUE"""),"フジサワカルタカイ")</f>
        <v>フジサワカルタカイ</v>
      </c>
      <c r="D171" s="47" t="str">
        <f ca="1">IFERROR(__xludf.DUMMYFUNCTION("""COMPUTED_VALUE"""),"神奈川県")</f>
        <v>神奈川県</v>
      </c>
      <c r="E171" s="49">
        <f ca="1">IFERROR(__xludf.DUMMYFUNCTION("""COMPUTED_VALUE"""),159)</f>
        <v>159</v>
      </c>
      <c r="F171" s="47" t="str">
        <f ca="1">IFERROR(__xludf.DUMMYFUNCTION("""COMPUTED_VALUE"""),"関東")</f>
        <v>関東</v>
      </c>
      <c r="G171" s="47"/>
      <c r="H171" s="47"/>
    </row>
    <row r="172" spans="1:8" ht="15.5">
      <c r="A172" s="2">
        <f ca="1">IFERROR(__xludf.DUMMYFUNCTION("""COMPUTED_VALUE"""),171)</f>
        <v>171</v>
      </c>
      <c r="B172" s="47" t="str">
        <f ca="1">IFERROR(__xludf.DUMMYFUNCTION("""COMPUTED_VALUE"""),"鎌倉山かるた会")</f>
        <v>鎌倉山かるた会</v>
      </c>
      <c r="C172" s="47" t="str">
        <f ca="1">IFERROR(__xludf.DUMMYFUNCTION("""COMPUTED_VALUE"""),"カマクラヤマカルタカイ")</f>
        <v>カマクラヤマカルタカイ</v>
      </c>
      <c r="D172" s="47" t="str">
        <f ca="1">IFERROR(__xludf.DUMMYFUNCTION("""COMPUTED_VALUE"""),"神奈川県")</f>
        <v>神奈川県</v>
      </c>
      <c r="E172" s="49">
        <f ca="1">IFERROR(__xludf.DUMMYFUNCTION("""COMPUTED_VALUE"""),160)</f>
        <v>160</v>
      </c>
      <c r="F172" s="47" t="str">
        <f ca="1">IFERROR(__xludf.DUMMYFUNCTION("""COMPUTED_VALUE"""),"関東")</f>
        <v>関東</v>
      </c>
      <c r="G172" s="47"/>
      <c r="H172" s="47"/>
    </row>
    <row r="173" spans="1:8" ht="15.5">
      <c r="A173" s="2">
        <f ca="1">IFERROR(__xludf.DUMMYFUNCTION("""COMPUTED_VALUE"""),172)</f>
        <v>172</v>
      </c>
      <c r="B173" s="47" t="str">
        <f ca="1">IFERROR(__xludf.DUMMYFUNCTION("""COMPUTED_VALUE"""),"鶴(たづ)の会")</f>
        <v>鶴(たづ)の会</v>
      </c>
      <c r="C173" s="47" t="str">
        <f ca="1">IFERROR(__xludf.DUMMYFUNCTION("""COMPUTED_VALUE"""),"タヅノカイ")</f>
        <v>タヅノカイ</v>
      </c>
      <c r="D173" s="47" t="str">
        <f ca="1">IFERROR(__xludf.DUMMYFUNCTION("""COMPUTED_VALUE"""),"神奈川県")</f>
        <v>神奈川県</v>
      </c>
      <c r="E173" s="49">
        <f ca="1">IFERROR(__xludf.DUMMYFUNCTION("""COMPUTED_VALUE"""),161)</f>
        <v>161</v>
      </c>
      <c r="F173" s="47" t="str">
        <f ca="1">IFERROR(__xludf.DUMMYFUNCTION("""COMPUTED_VALUE"""),"関東")</f>
        <v>関東</v>
      </c>
      <c r="G173" s="47"/>
      <c r="H173" s="47"/>
    </row>
    <row r="174" spans="1:8" ht="15.5">
      <c r="A174" s="2">
        <f ca="1">IFERROR(__xludf.DUMMYFUNCTION("""COMPUTED_VALUE"""),173)</f>
        <v>173</v>
      </c>
      <c r="B174" s="47" t="str">
        <f ca="1">IFERROR(__xludf.DUMMYFUNCTION("""COMPUTED_VALUE"""),"横浜平沼高等学校")</f>
        <v>横浜平沼高等学校</v>
      </c>
      <c r="C174" s="47" t="str">
        <f ca="1">IFERROR(__xludf.DUMMYFUNCTION("""COMPUTED_VALUE"""),"ヨコハマヒラヌマコウトウガッコウ")</f>
        <v>ヨコハマヒラヌマコウトウガッコウ</v>
      </c>
      <c r="D174" s="47" t="str">
        <f ca="1">IFERROR(__xludf.DUMMYFUNCTION("""COMPUTED_VALUE"""),"神奈川県")</f>
        <v>神奈川県</v>
      </c>
      <c r="E174" s="49">
        <f ca="1">IFERROR(__xludf.DUMMYFUNCTION("""COMPUTED_VALUE"""),162)</f>
        <v>162</v>
      </c>
      <c r="F174" s="47" t="str">
        <f ca="1">IFERROR(__xludf.DUMMYFUNCTION("""COMPUTED_VALUE"""),"関東")</f>
        <v>関東</v>
      </c>
      <c r="G174" s="47" t="str">
        <f ca="1">IFERROR(__xludf.DUMMYFUNCTION("""COMPUTED_VALUE"""),"高文連")</f>
        <v>高文連</v>
      </c>
      <c r="H174" s="47"/>
    </row>
    <row r="175" spans="1:8" ht="15.5">
      <c r="A175" s="2">
        <f ca="1">IFERROR(__xludf.DUMMYFUNCTION("""COMPUTED_VALUE"""),174)</f>
        <v>174</v>
      </c>
      <c r="B175" s="47" t="str">
        <f ca="1">IFERROR(__xludf.DUMMYFUNCTION("""COMPUTED_VALUE"""),"藤沢西高等学校")</f>
        <v>藤沢西高等学校</v>
      </c>
      <c r="C175" s="47" t="str">
        <f ca="1">IFERROR(__xludf.DUMMYFUNCTION("""COMPUTED_VALUE"""),"フジサワニシコウトウガッコウ")</f>
        <v>フジサワニシコウトウガッコウ</v>
      </c>
      <c r="D175" s="47" t="str">
        <f ca="1">IFERROR(__xludf.DUMMYFUNCTION("""COMPUTED_VALUE"""),"神奈川県")</f>
        <v>神奈川県</v>
      </c>
      <c r="E175" s="49">
        <f ca="1">IFERROR(__xludf.DUMMYFUNCTION("""COMPUTED_VALUE"""),163)</f>
        <v>163</v>
      </c>
      <c r="F175" s="47" t="str">
        <f ca="1">IFERROR(__xludf.DUMMYFUNCTION("""COMPUTED_VALUE"""),"関東")</f>
        <v>関東</v>
      </c>
      <c r="G175" s="47" t="str">
        <f ca="1">IFERROR(__xludf.DUMMYFUNCTION("""COMPUTED_VALUE"""),"高文連")</f>
        <v>高文連</v>
      </c>
      <c r="H175" s="47"/>
    </row>
    <row r="176" spans="1:8" ht="15.5">
      <c r="A176" s="2">
        <f ca="1">IFERROR(__xludf.DUMMYFUNCTION("""COMPUTED_VALUE"""),175)</f>
        <v>175</v>
      </c>
      <c r="B176" s="47" t="str">
        <f ca="1">IFERROR(__xludf.DUMMYFUNCTION("""COMPUTED_VALUE"""),"富山かたかご会")</f>
        <v>富山かたかご会</v>
      </c>
      <c r="C176" s="47" t="str">
        <f ca="1">IFERROR(__xludf.DUMMYFUNCTION("""COMPUTED_VALUE"""),"トヤマカタカゴカイ")</f>
        <v>トヤマカタカゴカイ</v>
      </c>
      <c r="D176" s="47" t="str">
        <f ca="1">IFERROR(__xludf.DUMMYFUNCTION("""COMPUTED_VALUE"""),"富山県")</f>
        <v>富山県</v>
      </c>
      <c r="E176" s="49">
        <f ca="1">IFERROR(__xludf.DUMMYFUNCTION("""COMPUTED_VALUE"""),164)</f>
        <v>164</v>
      </c>
      <c r="F176" s="47" t="str">
        <f ca="1">IFERROR(__xludf.DUMMYFUNCTION("""COMPUTED_VALUE"""),"北陸・甲信越")</f>
        <v>北陸・甲信越</v>
      </c>
      <c r="G176" s="47"/>
      <c r="H176" s="47"/>
    </row>
    <row r="177" spans="1:8" ht="15.5">
      <c r="A177" s="2">
        <f ca="1">IFERROR(__xludf.DUMMYFUNCTION("""COMPUTED_VALUE"""),176)</f>
        <v>176</v>
      </c>
      <c r="B177" s="47" t="str">
        <f ca="1">IFERROR(__xludf.DUMMYFUNCTION("""COMPUTED_VALUE"""),"石川かるた会")</f>
        <v>石川かるた会</v>
      </c>
      <c r="C177" s="47" t="str">
        <f ca="1">IFERROR(__xludf.DUMMYFUNCTION("""COMPUTED_VALUE"""),"イシカワカルタカイ")</f>
        <v>イシカワカルタカイ</v>
      </c>
      <c r="D177" s="47" t="str">
        <f ca="1">IFERROR(__xludf.DUMMYFUNCTION("""COMPUTED_VALUE"""),"石川県")</f>
        <v>石川県</v>
      </c>
      <c r="E177" s="49">
        <f ca="1">IFERROR(__xludf.DUMMYFUNCTION("""COMPUTED_VALUE"""),165)</f>
        <v>165</v>
      </c>
      <c r="F177" s="47" t="str">
        <f ca="1">IFERROR(__xludf.DUMMYFUNCTION("""COMPUTED_VALUE"""),"北陸・甲信越")</f>
        <v>北陸・甲信越</v>
      </c>
      <c r="G177" s="47"/>
      <c r="H177" s="47"/>
    </row>
    <row r="178" spans="1:8" ht="15.5">
      <c r="A178" s="2">
        <f ca="1">IFERROR(__xludf.DUMMYFUNCTION("""COMPUTED_VALUE"""),177)</f>
        <v>177</v>
      </c>
      <c r="B178" s="47" t="str">
        <f ca="1">IFERROR(__xludf.DUMMYFUNCTION("""COMPUTED_VALUE"""),"福井渚会")</f>
        <v>福井渚会</v>
      </c>
      <c r="C178" s="47" t="str">
        <f ca="1">IFERROR(__xludf.DUMMYFUNCTION("""COMPUTED_VALUE"""),"フクイナギサカイ")</f>
        <v>フクイナギサカイ</v>
      </c>
      <c r="D178" s="47" t="str">
        <f ca="1">IFERROR(__xludf.DUMMYFUNCTION("""COMPUTED_VALUE"""),"福井県")</f>
        <v>福井県</v>
      </c>
      <c r="E178" s="49">
        <f ca="1">IFERROR(__xludf.DUMMYFUNCTION("""COMPUTED_VALUE"""),166)</f>
        <v>166</v>
      </c>
      <c r="F178" s="47" t="str">
        <f ca="1">IFERROR(__xludf.DUMMYFUNCTION("""COMPUTED_VALUE"""),"北陸・甲信越")</f>
        <v>北陸・甲信越</v>
      </c>
      <c r="G178" s="47"/>
      <c r="H178" s="47"/>
    </row>
    <row r="179" spans="1:8" ht="15.5">
      <c r="A179" s="2">
        <f ca="1">IFERROR(__xludf.DUMMYFUNCTION("""COMPUTED_VALUE"""),178)</f>
        <v>178</v>
      </c>
      <c r="B179" s="47" t="str">
        <f ca="1">IFERROR(__xludf.DUMMYFUNCTION("""COMPUTED_VALUE"""),"山梨はやて会")</f>
        <v>山梨はやて会</v>
      </c>
      <c r="C179" s="47" t="str">
        <f ca="1">IFERROR(__xludf.DUMMYFUNCTION("""COMPUTED_VALUE"""),"ヤマナシハヤテカイ")</f>
        <v>ヤマナシハヤテカイ</v>
      </c>
      <c r="D179" s="47" t="str">
        <f ca="1">IFERROR(__xludf.DUMMYFUNCTION("""COMPUTED_VALUE"""),"山梨県")</f>
        <v>山梨県</v>
      </c>
      <c r="E179" s="49">
        <f ca="1">IFERROR(__xludf.DUMMYFUNCTION("""COMPUTED_VALUE"""),167)</f>
        <v>167</v>
      </c>
      <c r="F179" s="47" t="str">
        <f ca="1">IFERROR(__xludf.DUMMYFUNCTION("""COMPUTED_VALUE"""),"北陸・甲信越")</f>
        <v>北陸・甲信越</v>
      </c>
      <c r="G179" s="47"/>
      <c r="H179" s="47"/>
    </row>
    <row r="180" spans="1:8" ht="15.5">
      <c r="A180" s="2">
        <f ca="1">IFERROR(__xludf.DUMMYFUNCTION("""COMPUTED_VALUE"""),179)</f>
        <v>179</v>
      </c>
      <c r="B180" s="47" t="str">
        <f ca="1">IFERROR(__xludf.DUMMYFUNCTION("""COMPUTED_VALUE"""),"信州かるた会")</f>
        <v>信州かるた会</v>
      </c>
      <c r="C180" s="47" t="str">
        <f ca="1">IFERROR(__xludf.DUMMYFUNCTION("""COMPUTED_VALUE"""),"シンシュウカルタカイ")</f>
        <v>シンシュウカルタカイ</v>
      </c>
      <c r="D180" s="47" t="str">
        <f ca="1">IFERROR(__xludf.DUMMYFUNCTION("""COMPUTED_VALUE"""),"長野県")</f>
        <v>長野県</v>
      </c>
      <c r="E180" s="49">
        <f ca="1">IFERROR(__xludf.DUMMYFUNCTION("""COMPUTED_VALUE"""),168)</f>
        <v>168</v>
      </c>
      <c r="F180" s="47" t="str">
        <f ca="1">IFERROR(__xludf.DUMMYFUNCTION("""COMPUTED_VALUE"""),"北陸・甲信越")</f>
        <v>北陸・甲信越</v>
      </c>
      <c r="G180" s="47"/>
      <c r="H180" s="47"/>
    </row>
    <row r="181" spans="1:8" ht="15.5">
      <c r="A181" s="2">
        <f ca="1">IFERROR(__xludf.DUMMYFUNCTION("""COMPUTED_VALUE"""),180)</f>
        <v>180</v>
      </c>
      <c r="B181" s="47" t="str">
        <f ca="1">IFERROR(__xludf.DUMMYFUNCTION("""COMPUTED_VALUE"""),"塩尻かるた会")</f>
        <v>塩尻かるた会</v>
      </c>
      <c r="C181" s="47" t="str">
        <f ca="1">IFERROR(__xludf.DUMMYFUNCTION("""COMPUTED_VALUE"""),"シオジリカルタカイ")</f>
        <v>シオジリカルタカイ</v>
      </c>
      <c r="D181" s="47" t="str">
        <f ca="1">IFERROR(__xludf.DUMMYFUNCTION("""COMPUTED_VALUE"""),"長野県")</f>
        <v>長野県</v>
      </c>
      <c r="E181" s="49">
        <f ca="1">IFERROR(__xludf.DUMMYFUNCTION("""COMPUTED_VALUE"""),169)</f>
        <v>169</v>
      </c>
      <c r="F181" s="47" t="str">
        <f ca="1">IFERROR(__xludf.DUMMYFUNCTION("""COMPUTED_VALUE"""),"北陸・甲信越")</f>
        <v>北陸・甲信越</v>
      </c>
      <c r="G181" s="47"/>
      <c r="H181" s="47"/>
    </row>
    <row r="182" spans="1:8" ht="15.5">
      <c r="A182" s="2">
        <f ca="1">IFERROR(__xludf.DUMMYFUNCTION("""COMPUTED_VALUE"""),181)</f>
        <v>181</v>
      </c>
      <c r="B182" s="47" t="str">
        <f ca="1">IFERROR(__xludf.DUMMYFUNCTION("""COMPUTED_VALUE"""),"新潟白雪会")</f>
        <v>新潟白雪会</v>
      </c>
      <c r="C182" s="47" t="str">
        <f ca="1">IFERROR(__xludf.DUMMYFUNCTION("""COMPUTED_VALUE"""),"ニイガタシラユキカイ")</f>
        <v>ニイガタシラユキカイ</v>
      </c>
      <c r="D182" s="47" t="str">
        <f ca="1">IFERROR(__xludf.DUMMYFUNCTION("""COMPUTED_VALUE"""),"新潟県")</f>
        <v>新潟県</v>
      </c>
      <c r="E182" s="49">
        <f ca="1">IFERROR(__xludf.DUMMYFUNCTION("""COMPUTED_VALUE"""),170)</f>
        <v>170</v>
      </c>
      <c r="F182" s="47" t="str">
        <f ca="1">IFERROR(__xludf.DUMMYFUNCTION("""COMPUTED_VALUE"""),"北陸・甲信越")</f>
        <v>北陸・甲信越</v>
      </c>
      <c r="G182" s="47"/>
      <c r="H182" s="47"/>
    </row>
    <row r="183" spans="1:8" ht="15.5">
      <c r="A183" s="2">
        <f ca="1">IFERROR(__xludf.DUMMYFUNCTION("""COMPUTED_VALUE"""),182)</f>
        <v>182</v>
      </c>
      <c r="B183" s="47" t="str">
        <f ca="1">IFERROR(__xludf.DUMMYFUNCTION("""COMPUTED_VALUE"""),"岐阜かるた会")</f>
        <v>岐阜かるた会</v>
      </c>
      <c r="C183" s="47" t="str">
        <f ca="1">IFERROR(__xludf.DUMMYFUNCTION("""COMPUTED_VALUE"""),"ギフカルタカイ")</f>
        <v>ギフカルタカイ</v>
      </c>
      <c r="D183" s="47" t="str">
        <f ca="1">IFERROR(__xludf.DUMMYFUNCTION("""COMPUTED_VALUE"""),"岐阜県")</f>
        <v>岐阜県</v>
      </c>
      <c r="E183" s="49">
        <f ca="1">IFERROR(__xludf.DUMMYFUNCTION("""COMPUTED_VALUE"""),171)</f>
        <v>171</v>
      </c>
      <c r="F183" s="47" t="str">
        <f ca="1">IFERROR(__xludf.DUMMYFUNCTION("""COMPUTED_VALUE"""),"東海")</f>
        <v>東海</v>
      </c>
      <c r="G183" s="47"/>
      <c r="H183" s="47"/>
    </row>
    <row r="184" spans="1:8" ht="15.5">
      <c r="A184" s="2">
        <f ca="1">IFERROR(__xludf.DUMMYFUNCTION("""COMPUTED_VALUE"""),183)</f>
        <v>183</v>
      </c>
      <c r="B184" s="47" t="str">
        <f ca="1">IFERROR(__xludf.DUMMYFUNCTION("""COMPUTED_VALUE"""),"名古屋かるた会")</f>
        <v>名古屋かるた会</v>
      </c>
      <c r="C184" s="47" t="str">
        <f ca="1">IFERROR(__xludf.DUMMYFUNCTION("""COMPUTED_VALUE"""),"ナゴヤカルタカイ")</f>
        <v>ナゴヤカルタカイ</v>
      </c>
      <c r="D184" s="47" t="str">
        <f ca="1">IFERROR(__xludf.DUMMYFUNCTION("""COMPUTED_VALUE"""),"愛知県")</f>
        <v>愛知県</v>
      </c>
      <c r="E184" s="49">
        <f ca="1">IFERROR(__xludf.DUMMYFUNCTION("""COMPUTED_VALUE"""),172)</f>
        <v>172</v>
      </c>
      <c r="F184" s="47" t="str">
        <f ca="1">IFERROR(__xludf.DUMMYFUNCTION("""COMPUTED_VALUE"""),"東海")</f>
        <v>東海</v>
      </c>
      <c r="G184" s="47"/>
      <c r="H184" s="47"/>
    </row>
    <row r="185" spans="1:8" ht="15.5">
      <c r="A185" s="2">
        <f ca="1">IFERROR(__xludf.DUMMYFUNCTION("""COMPUTED_VALUE"""),184)</f>
        <v>184</v>
      </c>
      <c r="B185" s="47" t="str">
        <f ca="1">IFERROR(__xludf.DUMMYFUNCTION("""COMPUTED_VALUE"""),"名古屋大学かるた会")</f>
        <v>名古屋大学かるた会</v>
      </c>
      <c r="C185" s="47" t="str">
        <f ca="1">IFERROR(__xludf.DUMMYFUNCTION("""COMPUTED_VALUE"""),"ナゴヤダイガクカルタカイ")</f>
        <v>ナゴヤダイガクカルタカイ</v>
      </c>
      <c r="D185" s="47" t="str">
        <f ca="1">IFERROR(__xludf.DUMMYFUNCTION("""COMPUTED_VALUE"""),"愛知県")</f>
        <v>愛知県</v>
      </c>
      <c r="E185" s="49">
        <f ca="1">IFERROR(__xludf.DUMMYFUNCTION("""COMPUTED_VALUE"""),173)</f>
        <v>173</v>
      </c>
      <c r="F185" s="47" t="str">
        <f ca="1">IFERROR(__xludf.DUMMYFUNCTION("""COMPUTED_VALUE"""),"東海")</f>
        <v>東海</v>
      </c>
      <c r="G185" s="47"/>
      <c r="H185" s="47"/>
    </row>
    <row r="186" spans="1:8" ht="15.5">
      <c r="A186" s="2">
        <f ca="1">IFERROR(__xludf.DUMMYFUNCTION("""COMPUTED_VALUE"""),185)</f>
        <v>185</v>
      </c>
      <c r="B186" s="47" t="str">
        <f ca="1">IFERROR(__xludf.DUMMYFUNCTION("""COMPUTED_VALUE"""),"愛知県高等学校文化連盟")</f>
        <v>愛知県高等学校文化連盟</v>
      </c>
      <c r="C186" s="47" t="str">
        <f ca="1">IFERROR(__xludf.DUMMYFUNCTION("""COMPUTED_VALUE"""),"アイチケンコウトウガッコウブンカレンメイ")</f>
        <v>アイチケンコウトウガッコウブンカレンメイ</v>
      </c>
      <c r="D186" s="47" t="str">
        <f ca="1">IFERROR(__xludf.DUMMYFUNCTION("""COMPUTED_VALUE"""),"愛知県")</f>
        <v>愛知県</v>
      </c>
      <c r="E186" s="49">
        <f ca="1">IFERROR(__xludf.DUMMYFUNCTION("""COMPUTED_VALUE"""),174)</f>
        <v>174</v>
      </c>
      <c r="F186" s="47" t="str">
        <f ca="1">IFERROR(__xludf.DUMMYFUNCTION("""COMPUTED_VALUE"""),"東海")</f>
        <v>東海</v>
      </c>
      <c r="G186" s="47"/>
      <c r="H186" s="47"/>
    </row>
    <row r="187" spans="1:8" ht="15.5">
      <c r="A187" s="2">
        <f ca="1">IFERROR(__xludf.DUMMYFUNCTION("""COMPUTED_VALUE"""),186)</f>
        <v>186</v>
      </c>
      <c r="B187" s="47" t="str">
        <f ca="1">IFERROR(__xludf.DUMMYFUNCTION("""COMPUTED_VALUE"""),"豊田かるた会")</f>
        <v>豊田かるた会</v>
      </c>
      <c r="C187" s="47" t="str">
        <f ca="1">IFERROR(__xludf.DUMMYFUNCTION("""COMPUTED_VALUE"""),"トヨタカルタカイ")</f>
        <v>トヨタカルタカイ</v>
      </c>
      <c r="D187" s="47" t="str">
        <f ca="1">IFERROR(__xludf.DUMMYFUNCTION("""COMPUTED_VALUE"""),"愛知県")</f>
        <v>愛知県</v>
      </c>
      <c r="E187" s="49">
        <f ca="1">IFERROR(__xludf.DUMMYFUNCTION("""COMPUTED_VALUE"""),175)</f>
        <v>175</v>
      </c>
      <c r="F187" s="47" t="str">
        <f ca="1">IFERROR(__xludf.DUMMYFUNCTION("""COMPUTED_VALUE"""),"東海")</f>
        <v>東海</v>
      </c>
      <c r="G187" s="47"/>
      <c r="H187" s="47"/>
    </row>
    <row r="188" spans="1:8" ht="15.5">
      <c r="A188" s="2">
        <f ca="1">IFERROR(__xludf.DUMMYFUNCTION("""COMPUTED_VALUE"""),187)</f>
        <v>187</v>
      </c>
      <c r="B188" s="47" t="str">
        <f ca="1">IFERROR(__xludf.DUMMYFUNCTION("""COMPUTED_VALUE"""),"旭丘高等学校")</f>
        <v>旭丘高等学校</v>
      </c>
      <c r="C188" s="47" t="str">
        <f ca="1">IFERROR(__xludf.DUMMYFUNCTION("""COMPUTED_VALUE"""),"アサヒガオカコウトウガッコウ")</f>
        <v>アサヒガオカコウトウガッコウ</v>
      </c>
      <c r="D188" s="47" t="str">
        <f ca="1">IFERROR(__xludf.DUMMYFUNCTION("""COMPUTED_VALUE"""),"愛知県")</f>
        <v>愛知県</v>
      </c>
      <c r="E188" s="49">
        <f ca="1">IFERROR(__xludf.DUMMYFUNCTION("""COMPUTED_VALUE"""),176)</f>
        <v>176</v>
      </c>
      <c r="F188" s="47" t="str">
        <f ca="1">IFERROR(__xludf.DUMMYFUNCTION("""COMPUTED_VALUE"""),"東海")</f>
        <v>東海</v>
      </c>
      <c r="G188" s="47" t="str">
        <f ca="1">IFERROR(__xludf.DUMMYFUNCTION("""COMPUTED_VALUE"""),"高文連")</f>
        <v>高文連</v>
      </c>
      <c r="H188" s="47"/>
    </row>
    <row r="189" spans="1:8" ht="15.5">
      <c r="A189" s="2">
        <f ca="1">IFERROR(__xludf.DUMMYFUNCTION("""COMPUTED_VALUE"""),188)</f>
        <v>188</v>
      </c>
      <c r="B189" s="47" t="str">
        <f ca="1">IFERROR(__xludf.DUMMYFUNCTION("""COMPUTED_VALUE"""),"桜花学園高等学校")</f>
        <v>桜花学園高等学校</v>
      </c>
      <c r="C189" s="47" t="str">
        <f ca="1">IFERROR(__xludf.DUMMYFUNCTION("""COMPUTED_VALUE"""),"オウカガクエンコウトウガッコウ")</f>
        <v>オウカガクエンコウトウガッコウ</v>
      </c>
      <c r="D189" s="47" t="str">
        <f ca="1">IFERROR(__xludf.DUMMYFUNCTION("""COMPUTED_VALUE"""),"愛知県")</f>
        <v>愛知県</v>
      </c>
      <c r="E189" s="49">
        <f ca="1">IFERROR(__xludf.DUMMYFUNCTION("""COMPUTED_VALUE"""),177)</f>
        <v>177</v>
      </c>
      <c r="F189" s="47" t="str">
        <f ca="1">IFERROR(__xludf.DUMMYFUNCTION("""COMPUTED_VALUE"""),"東海")</f>
        <v>東海</v>
      </c>
      <c r="G189" s="47" t="str">
        <f ca="1">IFERROR(__xludf.DUMMYFUNCTION("""COMPUTED_VALUE"""),"高文連")</f>
        <v>高文連</v>
      </c>
      <c r="H189" s="47"/>
    </row>
    <row r="190" spans="1:8" ht="15.5">
      <c r="A190" s="2">
        <f ca="1">IFERROR(__xludf.DUMMYFUNCTION("""COMPUTED_VALUE"""),189)</f>
        <v>189</v>
      </c>
      <c r="B190" s="47" t="str">
        <f ca="1">IFERROR(__xludf.DUMMYFUNCTION("""COMPUTED_VALUE"""),"南山高等学校・中学校女子部")</f>
        <v>南山高等学校・中学校女子部</v>
      </c>
      <c r="C190" s="47" t="str">
        <f ca="1">IFERROR(__xludf.DUMMYFUNCTION("""COMPUTED_VALUE"""),"ナンザンコウトウガッコウチュウガッコウジョシブ")</f>
        <v>ナンザンコウトウガッコウチュウガッコウジョシブ</v>
      </c>
      <c r="D190" s="47" t="str">
        <f ca="1">IFERROR(__xludf.DUMMYFUNCTION("""COMPUTED_VALUE"""),"愛知県")</f>
        <v>愛知県</v>
      </c>
      <c r="E190" s="49">
        <f ca="1">IFERROR(__xludf.DUMMYFUNCTION("""COMPUTED_VALUE"""),178)</f>
        <v>178</v>
      </c>
      <c r="F190" s="47" t="str">
        <f ca="1">IFERROR(__xludf.DUMMYFUNCTION("""COMPUTED_VALUE"""),"東海")</f>
        <v>東海</v>
      </c>
      <c r="G190" s="47" t="str">
        <f ca="1">IFERROR(__xludf.DUMMYFUNCTION("""COMPUTED_VALUE"""),"高文連")</f>
        <v>高文連</v>
      </c>
      <c r="H190" s="47"/>
    </row>
    <row r="191" spans="1:8" ht="15.5">
      <c r="A191" s="2">
        <f ca="1">IFERROR(__xludf.DUMMYFUNCTION("""COMPUTED_VALUE"""),190)</f>
        <v>190</v>
      </c>
      <c r="B191" s="47" t="str">
        <f ca="1">IFERROR(__xludf.DUMMYFUNCTION("""COMPUTED_VALUE"""),"三重若菜会")</f>
        <v>三重若菜会</v>
      </c>
      <c r="C191" s="47" t="str">
        <f ca="1">IFERROR(__xludf.DUMMYFUNCTION("""COMPUTED_VALUE"""),"ミエワカナカイ")</f>
        <v>ミエワカナカイ</v>
      </c>
      <c r="D191" s="47" t="str">
        <f ca="1">IFERROR(__xludf.DUMMYFUNCTION("""COMPUTED_VALUE"""),"三重県")</f>
        <v>三重県</v>
      </c>
      <c r="E191" s="49">
        <f ca="1">IFERROR(__xludf.DUMMYFUNCTION("""COMPUTED_VALUE"""),179)</f>
        <v>179</v>
      </c>
      <c r="F191" s="47" t="str">
        <f ca="1">IFERROR(__xludf.DUMMYFUNCTION("""COMPUTED_VALUE"""),"東海")</f>
        <v>東海</v>
      </c>
      <c r="G191" s="47"/>
      <c r="H191" s="47"/>
    </row>
    <row r="192" spans="1:8" ht="15.5">
      <c r="A192" s="2">
        <f ca="1">IFERROR(__xludf.DUMMYFUNCTION("""COMPUTED_VALUE"""),191)</f>
        <v>191</v>
      </c>
      <c r="B192" s="47" t="str">
        <f ca="1">IFERROR(__xludf.DUMMYFUNCTION("""COMPUTED_VALUE"""),"三島せせらぎ会")</f>
        <v>三島せせらぎ会</v>
      </c>
      <c r="C192" s="47" t="str">
        <f ca="1">IFERROR(__xludf.DUMMYFUNCTION("""COMPUTED_VALUE"""),"ミシマセセラギカイ")</f>
        <v>ミシマセセラギカイ</v>
      </c>
      <c r="D192" s="47" t="str">
        <f ca="1">IFERROR(__xludf.DUMMYFUNCTION("""COMPUTED_VALUE"""),"静岡県")</f>
        <v>静岡県</v>
      </c>
      <c r="E192" s="49">
        <f ca="1">IFERROR(__xludf.DUMMYFUNCTION("""COMPUTED_VALUE"""),180)</f>
        <v>180</v>
      </c>
      <c r="F192" s="47" t="str">
        <f ca="1">IFERROR(__xludf.DUMMYFUNCTION("""COMPUTED_VALUE"""),"東海")</f>
        <v>東海</v>
      </c>
      <c r="G192" s="47"/>
      <c r="H192" s="47"/>
    </row>
    <row r="193" spans="1:8" ht="15.5">
      <c r="A193" s="2">
        <f ca="1">IFERROR(__xludf.DUMMYFUNCTION("""COMPUTED_VALUE"""),192)</f>
        <v>192</v>
      </c>
      <c r="B193" s="47" t="str">
        <f ca="1">IFERROR(__xludf.DUMMYFUNCTION("""COMPUTED_VALUE"""),"大井川清流会")</f>
        <v>大井川清流会</v>
      </c>
      <c r="C193" s="47" t="str">
        <f ca="1">IFERROR(__xludf.DUMMYFUNCTION("""COMPUTED_VALUE"""),"オオイガワセイリュウカイ")</f>
        <v>オオイガワセイリュウカイ</v>
      </c>
      <c r="D193" s="47" t="str">
        <f ca="1">IFERROR(__xludf.DUMMYFUNCTION("""COMPUTED_VALUE"""),"静岡県")</f>
        <v>静岡県</v>
      </c>
      <c r="E193" s="49">
        <f ca="1">IFERROR(__xludf.DUMMYFUNCTION("""COMPUTED_VALUE"""),181)</f>
        <v>181</v>
      </c>
      <c r="F193" s="47" t="str">
        <f ca="1">IFERROR(__xludf.DUMMYFUNCTION("""COMPUTED_VALUE"""),"東海")</f>
        <v>東海</v>
      </c>
      <c r="G193" s="47"/>
      <c r="H193" s="47"/>
    </row>
    <row r="194" spans="1:8" ht="15.5">
      <c r="A194" s="2">
        <f ca="1">IFERROR(__xludf.DUMMYFUNCTION("""COMPUTED_VALUE"""),193)</f>
        <v>193</v>
      </c>
      <c r="B194" s="47" t="str">
        <f ca="1">IFERROR(__xludf.DUMMYFUNCTION("""COMPUTED_VALUE"""),"富士かるた会")</f>
        <v>富士かるた会</v>
      </c>
      <c r="C194" s="47" t="str">
        <f ca="1">IFERROR(__xludf.DUMMYFUNCTION("""COMPUTED_VALUE"""),"フジカルタカイ")</f>
        <v>フジカルタカイ</v>
      </c>
      <c r="D194" s="47" t="str">
        <f ca="1">IFERROR(__xludf.DUMMYFUNCTION("""COMPUTED_VALUE"""),"静岡県")</f>
        <v>静岡県</v>
      </c>
      <c r="E194" s="49">
        <f ca="1">IFERROR(__xludf.DUMMYFUNCTION("""COMPUTED_VALUE"""),182)</f>
        <v>182</v>
      </c>
      <c r="F194" s="47" t="str">
        <f ca="1">IFERROR(__xludf.DUMMYFUNCTION("""COMPUTED_VALUE"""),"東海")</f>
        <v>東海</v>
      </c>
      <c r="G194" s="47"/>
      <c r="H194" s="47"/>
    </row>
    <row r="195" spans="1:8" ht="15.5">
      <c r="A195" s="2">
        <f ca="1">IFERROR(__xludf.DUMMYFUNCTION("""COMPUTED_VALUE"""),194)</f>
        <v>194</v>
      </c>
      <c r="B195" s="47" t="str">
        <f ca="1">IFERROR(__xludf.DUMMYFUNCTION("""COMPUTED_VALUE"""),"富士高百人一首部")</f>
        <v>富士高百人一首部</v>
      </c>
      <c r="C195" s="47" t="str">
        <f ca="1">IFERROR(__xludf.DUMMYFUNCTION("""COMPUTED_VALUE"""),"フジコウヒャクニンイッシュブ")</f>
        <v>フジコウヒャクニンイッシュブ</v>
      </c>
      <c r="D195" s="47" t="str">
        <f ca="1">IFERROR(__xludf.DUMMYFUNCTION("""COMPUTED_VALUE"""),"静岡県")</f>
        <v>静岡県</v>
      </c>
      <c r="E195" s="49">
        <f ca="1">IFERROR(__xludf.DUMMYFUNCTION("""COMPUTED_VALUE"""),183)</f>
        <v>183</v>
      </c>
      <c r="F195" s="47" t="str">
        <f ca="1">IFERROR(__xludf.DUMMYFUNCTION("""COMPUTED_VALUE"""),"東海")</f>
        <v>東海</v>
      </c>
      <c r="G195" s="47"/>
      <c r="H195" s="47"/>
    </row>
    <row r="196" spans="1:8" ht="15.5">
      <c r="A196" s="2">
        <f ca="1">IFERROR(__xludf.DUMMYFUNCTION("""COMPUTED_VALUE"""),195)</f>
        <v>195</v>
      </c>
      <c r="B196" s="47" t="str">
        <f ca="1">IFERROR(__xludf.DUMMYFUNCTION("""COMPUTED_VALUE"""),"沼東香陵会")</f>
        <v>沼東香陵会</v>
      </c>
      <c r="C196" s="47" t="str">
        <f ca="1">IFERROR(__xludf.DUMMYFUNCTION("""COMPUTED_VALUE"""),"ヌマトウコウリョウカイ")</f>
        <v>ヌマトウコウリョウカイ</v>
      </c>
      <c r="D196" s="47" t="str">
        <f ca="1">IFERROR(__xludf.DUMMYFUNCTION("""COMPUTED_VALUE"""),"静岡県")</f>
        <v>静岡県</v>
      </c>
      <c r="E196" s="49">
        <f ca="1">IFERROR(__xludf.DUMMYFUNCTION("""COMPUTED_VALUE"""),184)</f>
        <v>184</v>
      </c>
      <c r="F196" s="47" t="str">
        <f ca="1">IFERROR(__xludf.DUMMYFUNCTION("""COMPUTED_VALUE"""),"東海")</f>
        <v>東海</v>
      </c>
      <c r="G196" s="47"/>
      <c r="H196" s="47"/>
    </row>
    <row r="197" spans="1:8" ht="15.5">
      <c r="A197" s="2">
        <f ca="1">IFERROR(__xludf.DUMMYFUNCTION("""COMPUTED_VALUE"""),196)</f>
        <v>196</v>
      </c>
      <c r="B197" s="47" t="str">
        <f ca="1">IFERROR(__xludf.DUMMYFUNCTION("""COMPUTED_VALUE"""),"沼津かるた会")</f>
        <v>沼津かるた会</v>
      </c>
      <c r="C197" s="47" t="str">
        <f ca="1">IFERROR(__xludf.DUMMYFUNCTION("""COMPUTED_VALUE"""),"ヌマヅカルタカイ")</f>
        <v>ヌマヅカルタカイ</v>
      </c>
      <c r="D197" s="47" t="str">
        <f ca="1">IFERROR(__xludf.DUMMYFUNCTION("""COMPUTED_VALUE"""),"静岡県")</f>
        <v>静岡県</v>
      </c>
      <c r="E197" s="49">
        <f ca="1">IFERROR(__xludf.DUMMYFUNCTION("""COMPUTED_VALUE"""),185)</f>
        <v>185</v>
      </c>
      <c r="F197" s="47" t="str">
        <f ca="1">IFERROR(__xludf.DUMMYFUNCTION("""COMPUTED_VALUE"""),"東海")</f>
        <v>東海</v>
      </c>
      <c r="G197" s="47"/>
      <c r="H197" s="47"/>
    </row>
    <row r="198" spans="1:8" ht="15.5">
      <c r="A198" s="2">
        <f ca="1">IFERROR(__xludf.DUMMYFUNCTION("""COMPUTED_VALUE"""),197)</f>
        <v>197</v>
      </c>
      <c r="B198" s="47" t="str">
        <f ca="1">IFERROR(__xludf.DUMMYFUNCTION("""COMPUTED_VALUE"""),"浜松かるた会")</f>
        <v>浜松かるた会</v>
      </c>
      <c r="C198" s="47" t="str">
        <f ca="1">IFERROR(__xludf.DUMMYFUNCTION("""COMPUTED_VALUE"""),"ハママツカルタカイ")</f>
        <v>ハママツカルタカイ</v>
      </c>
      <c r="D198" s="47" t="str">
        <f ca="1">IFERROR(__xludf.DUMMYFUNCTION("""COMPUTED_VALUE"""),"静岡県")</f>
        <v>静岡県</v>
      </c>
      <c r="E198" s="49">
        <f ca="1">IFERROR(__xludf.DUMMYFUNCTION("""COMPUTED_VALUE"""),186)</f>
        <v>186</v>
      </c>
      <c r="F198" s="47" t="str">
        <f ca="1">IFERROR(__xludf.DUMMYFUNCTION("""COMPUTED_VALUE"""),"東海")</f>
        <v>東海</v>
      </c>
      <c r="G198" s="47"/>
      <c r="H198" s="47"/>
    </row>
    <row r="199" spans="1:8" ht="15.5">
      <c r="A199" s="2">
        <f ca="1">IFERROR(__xludf.DUMMYFUNCTION("""COMPUTED_VALUE"""),198)</f>
        <v>198</v>
      </c>
      <c r="B199" s="47" t="str">
        <f ca="1">IFERROR(__xludf.DUMMYFUNCTION("""COMPUTED_VALUE"""),"浜松北高さしも会")</f>
        <v>浜松北高さしも会</v>
      </c>
      <c r="C199" s="47" t="str">
        <f ca="1">IFERROR(__xludf.DUMMYFUNCTION("""COMPUTED_VALUE"""),"ハママツキタコウサシモカイ")</f>
        <v>ハママツキタコウサシモカイ</v>
      </c>
      <c r="D199" s="47" t="str">
        <f ca="1">IFERROR(__xludf.DUMMYFUNCTION("""COMPUTED_VALUE"""),"静岡県")</f>
        <v>静岡県</v>
      </c>
      <c r="E199" s="49">
        <f ca="1">IFERROR(__xludf.DUMMYFUNCTION("""COMPUTED_VALUE"""),187)</f>
        <v>187</v>
      </c>
      <c r="F199" s="47" t="str">
        <f ca="1">IFERROR(__xludf.DUMMYFUNCTION("""COMPUTED_VALUE"""),"東海")</f>
        <v>東海</v>
      </c>
      <c r="G199" s="47"/>
      <c r="H199" s="47"/>
    </row>
    <row r="200" spans="1:8" ht="15.5">
      <c r="A200" s="2">
        <f ca="1">IFERROR(__xludf.DUMMYFUNCTION("""COMPUTED_VALUE"""),199)</f>
        <v>199</v>
      </c>
      <c r="B200" s="47" t="str">
        <f ca="1">IFERROR(__xludf.DUMMYFUNCTION("""COMPUTED_VALUE"""),"磐田南高はぐま会")</f>
        <v>磐田南高はぐま会</v>
      </c>
      <c r="C200" s="47" t="str">
        <f ca="1">IFERROR(__xludf.DUMMYFUNCTION("""COMPUTED_VALUE"""),"イワタミナミコウハグマカイ")</f>
        <v>イワタミナミコウハグマカイ</v>
      </c>
      <c r="D200" s="47" t="str">
        <f ca="1">IFERROR(__xludf.DUMMYFUNCTION("""COMPUTED_VALUE"""),"静岡県")</f>
        <v>静岡県</v>
      </c>
      <c r="E200" s="49">
        <f ca="1">IFERROR(__xludf.DUMMYFUNCTION("""COMPUTED_VALUE"""),188)</f>
        <v>188</v>
      </c>
      <c r="F200" s="47" t="str">
        <f ca="1">IFERROR(__xludf.DUMMYFUNCTION("""COMPUTED_VALUE"""),"東海")</f>
        <v>東海</v>
      </c>
      <c r="G200" s="47"/>
      <c r="H200" s="47"/>
    </row>
    <row r="201" spans="1:8" ht="15.5">
      <c r="A201" s="2">
        <f ca="1">IFERROR(__xludf.DUMMYFUNCTION("""COMPUTED_VALUE"""),200)</f>
        <v>200</v>
      </c>
      <c r="B201" s="47" t="str">
        <f ca="1">IFERROR(__xludf.DUMMYFUNCTION("""COMPUTED_VALUE"""),"静岡かるた会")</f>
        <v>静岡かるた会</v>
      </c>
      <c r="C201" s="47" t="str">
        <f ca="1">IFERROR(__xludf.DUMMYFUNCTION("""COMPUTED_VALUE"""),"シズオカカルタカイ")</f>
        <v>シズオカカルタカイ</v>
      </c>
      <c r="D201" s="47" t="str">
        <f ca="1">IFERROR(__xludf.DUMMYFUNCTION("""COMPUTED_VALUE"""),"静岡県")</f>
        <v>静岡県</v>
      </c>
      <c r="E201" s="49">
        <f ca="1">IFERROR(__xludf.DUMMYFUNCTION("""COMPUTED_VALUE"""),189)</f>
        <v>189</v>
      </c>
      <c r="F201" s="47" t="str">
        <f ca="1">IFERROR(__xludf.DUMMYFUNCTION("""COMPUTED_VALUE"""),"東海")</f>
        <v>東海</v>
      </c>
      <c r="G201" s="47"/>
      <c r="H201" s="47"/>
    </row>
    <row r="202" spans="1:8" ht="15.5">
      <c r="A202" s="2">
        <f ca="1">IFERROR(__xludf.DUMMYFUNCTION("""COMPUTED_VALUE"""),201)</f>
        <v>201</v>
      </c>
      <c r="B202" s="47" t="str">
        <f ca="1">IFERROR(__xludf.DUMMYFUNCTION("""COMPUTED_VALUE"""),"静岡大学かるた会")</f>
        <v>静岡大学かるた会</v>
      </c>
      <c r="C202" s="47" t="str">
        <f ca="1">IFERROR(__xludf.DUMMYFUNCTION("""COMPUTED_VALUE"""),"シズオカダイガクカルタカイ")</f>
        <v>シズオカダイガクカルタカイ</v>
      </c>
      <c r="D202" s="47" t="str">
        <f ca="1">IFERROR(__xludf.DUMMYFUNCTION("""COMPUTED_VALUE"""),"静岡県")</f>
        <v>静岡県</v>
      </c>
      <c r="E202" s="49">
        <f ca="1">IFERROR(__xludf.DUMMYFUNCTION("""COMPUTED_VALUE"""),190)</f>
        <v>190</v>
      </c>
      <c r="F202" s="47" t="str">
        <f ca="1">IFERROR(__xludf.DUMMYFUNCTION("""COMPUTED_VALUE"""),"東海")</f>
        <v>東海</v>
      </c>
      <c r="G202" s="47"/>
      <c r="H202" s="47"/>
    </row>
    <row r="203" spans="1:8" ht="15.5">
      <c r="A203" s="2">
        <f ca="1">IFERROR(__xludf.DUMMYFUNCTION("""COMPUTED_VALUE"""),202)</f>
        <v>202</v>
      </c>
      <c r="B203" s="47" t="str">
        <f ca="1">IFERROR(__xludf.DUMMYFUNCTION("""COMPUTED_VALUE"""),"静岡東高百人一首部")</f>
        <v>静岡東高百人一首部</v>
      </c>
      <c r="C203" s="47" t="str">
        <f ca="1">IFERROR(__xludf.DUMMYFUNCTION("""COMPUTED_VALUE"""),"シズオカヒガシコウヒャクニンイッシュブ")</f>
        <v>シズオカヒガシコウヒャクニンイッシュブ</v>
      </c>
      <c r="D203" s="47" t="str">
        <f ca="1">IFERROR(__xludf.DUMMYFUNCTION("""COMPUTED_VALUE"""),"静岡県")</f>
        <v>静岡県</v>
      </c>
      <c r="E203" s="49">
        <f ca="1">IFERROR(__xludf.DUMMYFUNCTION("""COMPUTED_VALUE"""),191)</f>
        <v>191</v>
      </c>
      <c r="F203" s="47" t="str">
        <f ca="1">IFERROR(__xludf.DUMMYFUNCTION("""COMPUTED_VALUE"""),"東海")</f>
        <v>東海</v>
      </c>
      <c r="G203" s="47"/>
      <c r="H203" s="47"/>
    </row>
    <row r="204" spans="1:8" ht="15.5">
      <c r="A204" s="2">
        <f ca="1">IFERROR(__xludf.DUMMYFUNCTION("""COMPUTED_VALUE"""),203)</f>
        <v>203</v>
      </c>
      <c r="B204" s="47" t="str">
        <f ca="1">IFERROR(__xludf.DUMMYFUNCTION("""COMPUTED_VALUE"""),"静岡雙葉かるた会")</f>
        <v>静岡雙葉かるた会</v>
      </c>
      <c r="C204" s="47" t="str">
        <f ca="1">IFERROR(__xludf.DUMMYFUNCTION("""COMPUTED_VALUE"""),"シズオカフタバカルタカイ")</f>
        <v>シズオカフタバカルタカイ</v>
      </c>
      <c r="D204" s="47" t="str">
        <f ca="1">IFERROR(__xludf.DUMMYFUNCTION("""COMPUTED_VALUE"""),"静岡県")</f>
        <v>静岡県</v>
      </c>
      <c r="E204" s="49">
        <f ca="1">IFERROR(__xludf.DUMMYFUNCTION("""COMPUTED_VALUE"""),192)</f>
        <v>192</v>
      </c>
      <c r="F204" s="47" t="str">
        <f ca="1">IFERROR(__xludf.DUMMYFUNCTION("""COMPUTED_VALUE"""),"東海")</f>
        <v>東海</v>
      </c>
      <c r="G204" s="47"/>
      <c r="H204" s="47"/>
    </row>
    <row r="205" spans="1:8" ht="15.5">
      <c r="A205" s="2">
        <f ca="1">IFERROR(__xludf.DUMMYFUNCTION("""COMPUTED_VALUE"""),204)</f>
        <v>204</v>
      </c>
      <c r="B205" s="47" t="str">
        <f ca="1">IFERROR(__xludf.DUMMYFUNCTION("""COMPUTED_VALUE"""),"高嶺会")</f>
        <v>高嶺会</v>
      </c>
      <c r="C205" s="47" t="str">
        <f ca="1">IFERROR(__xludf.DUMMYFUNCTION("""COMPUTED_VALUE"""),"タカネカイ")</f>
        <v>タカネカイ</v>
      </c>
      <c r="D205" s="47" t="str">
        <f ca="1">IFERROR(__xludf.DUMMYFUNCTION("""COMPUTED_VALUE"""),"静岡県")</f>
        <v>静岡県</v>
      </c>
      <c r="E205" s="49">
        <f ca="1">IFERROR(__xludf.DUMMYFUNCTION("""COMPUTED_VALUE"""),193)</f>
        <v>193</v>
      </c>
      <c r="F205" s="47" t="str">
        <f ca="1">IFERROR(__xludf.DUMMYFUNCTION("""COMPUTED_VALUE"""),"東海")</f>
        <v>東海</v>
      </c>
      <c r="G205" s="47"/>
      <c r="H205" s="47"/>
    </row>
    <row r="206" spans="1:8" ht="15.5">
      <c r="A206" s="2">
        <f ca="1">IFERROR(__xludf.DUMMYFUNCTION("""COMPUTED_VALUE"""),205)</f>
        <v>205</v>
      </c>
      <c r="B206" s="47" t="str">
        <f ca="1">IFERROR(__xludf.DUMMYFUNCTION("""COMPUTED_VALUE"""),"京都大学かるた会")</f>
        <v>京都大学かるた会</v>
      </c>
      <c r="C206" s="47" t="str">
        <f ca="1">IFERROR(__xludf.DUMMYFUNCTION("""COMPUTED_VALUE"""),"キョウトダイガクカルタカイ")</f>
        <v>キョウトダイガクカルタカイ</v>
      </c>
      <c r="D206" s="47" t="str">
        <f ca="1">IFERROR(__xludf.DUMMYFUNCTION("""COMPUTED_VALUE"""),"京都府")</f>
        <v>京都府</v>
      </c>
      <c r="E206" s="49">
        <f ca="1">IFERROR(__xludf.DUMMYFUNCTION("""COMPUTED_VALUE"""),194)</f>
        <v>194</v>
      </c>
      <c r="F206" s="47" t="str">
        <f ca="1">IFERROR(__xludf.DUMMYFUNCTION("""COMPUTED_VALUE"""),"近畿")</f>
        <v>近畿</v>
      </c>
      <c r="G206" s="47"/>
      <c r="H206" s="47"/>
    </row>
    <row r="207" spans="1:8" ht="15.5">
      <c r="A207" s="2">
        <f ca="1">IFERROR(__xludf.DUMMYFUNCTION("""COMPUTED_VALUE"""),206)</f>
        <v>206</v>
      </c>
      <c r="B207" s="47" t="str">
        <f ca="1">IFERROR(__xludf.DUMMYFUNCTION("""COMPUTED_VALUE"""),"京都小倉かるた会")</f>
        <v>京都小倉かるた会</v>
      </c>
      <c r="C207" s="47" t="str">
        <f ca="1">IFERROR(__xludf.DUMMYFUNCTION("""COMPUTED_VALUE"""),"キョウトオグラカルタカイ")</f>
        <v>キョウトオグラカルタカイ</v>
      </c>
      <c r="D207" s="47" t="str">
        <f ca="1">IFERROR(__xludf.DUMMYFUNCTION("""COMPUTED_VALUE"""),"京都府")</f>
        <v>京都府</v>
      </c>
      <c r="E207" s="49">
        <f ca="1">IFERROR(__xludf.DUMMYFUNCTION("""COMPUTED_VALUE"""),195)</f>
        <v>195</v>
      </c>
      <c r="F207" s="47" t="str">
        <f ca="1">IFERROR(__xludf.DUMMYFUNCTION("""COMPUTED_VALUE"""),"近畿")</f>
        <v>近畿</v>
      </c>
      <c r="G207" s="47"/>
      <c r="H207" s="47"/>
    </row>
    <row r="208" spans="1:8" ht="15.5">
      <c r="A208" s="2">
        <f ca="1">IFERROR(__xludf.DUMMYFUNCTION("""COMPUTED_VALUE"""),207)</f>
        <v>207</v>
      </c>
      <c r="B208" s="47" t="str">
        <f ca="1">IFERROR(__xludf.DUMMYFUNCTION("""COMPUTED_VALUE"""),"大阪なにはえ会")</f>
        <v>大阪なにはえ会</v>
      </c>
      <c r="C208" s="47" t="str">
        <f ca="1">IFERROR(__xludf.DUMMYFUNCTION("""COMPUTED_VALUE"""),"オオサカナニハエカイ")</f>
        <v>オオサカナニハエカイ</v>
      </c>
      <c r="D208" s="47" t="str">
        <f ca="1">IFERROR(__xludf.DUMMYFUNCTION("""COMPUTED_VALUE"""),"大阪府")</f>
        <v>大阪府</v>
      </c>
      <c r="E208" s="49">
        <f ca="1">IFERROR(__xludf.DUMMYFUNCTION("""COMPUTED_VALUE"""),196)</f>
        <v>196</v>
      </c>
      <c r="F208" s="47" t="str">
        <f ca="1">IFERROR(__xludf.DUMMYFUNCTION("""COMPUTED_VALUE"""),"近畿")</f>
        <v>近畿</v>
      </c>
      <c r="G208" s="47"/>
      <c r="H208" s="47"/>
    </row>
    <row r="209" spans="1:8" ht="15.5">
      <c r="A209" s="2">
        <f ca="1">IFERROR(__xludf.DUMMYFUNCTION("""COMPUTED_VALUE"""),208)</f>
        <v>208</v>
      </c>
      <c r="B209" s="47" t="str">
        <f ca="1">IFERROR(__xludf.DUMMYFUNCTION("""COMPUTED_VALUE"""),"大阪大学かるた会")</f>
        <v>大阪大学かるた会</v>
      </c>
      <c r="C209" s="47" t="str">
        <f ca="1">IFERROR(__xludf.DUMMYFUNCTION("""COMPUTED_VALUE"""),"オオサカダイガクカルタカイ")</f>
        <v>オオサカダイガクカルタカイ</v>
      </c>
      <c r="D209" s="47" t="str">
        <f ca="1">IFERROR(__xludf.DUMMYFUNCTION("""COMPUTED_VALUE"""),"大阪府")</f>
        <v>大阪府</v>
      </c>
      <c r="E209" s="49">
        <f ca="1">IFERROR(__xludf.DUMMYFUNCTION("""COMPUTED_VALUE"""),197)</f>
        <v>197</v>
      </c>
      <c r="F209" s="47" t="str">
        <f ca="1">IFERROR(__xludf.DUMMYFUNCTION("""COMPUTED_VALUE"""),"近畿")</f>
        <v>近畿</v>
      </c>
      <c r="G209" s="47"/>
      <c r="H209" s="47"/>
    </row>
    <row r="210" spans="1:8" ht="15.5">
      <c r="A210" s="2">
        <f ca="1">IFERROR(__xludf.DUMMYFUNCTION("""COMPUTED_VALUE"""),209)</f>
        <v>209</v>
      </c>
      <c r="B210" s="47" t="str">
        <f ca="1">IFERROR(__xludf.DUMMYFUNCTION("""COMPUTED_VALUE"""),"大阪暁会")</f>
        <v>大阪暁会</v>
      </c>
      <c r="C210" s="47" t="str">
        <f ca="1">IFERROR(__xludf.DUMMYFUNCTION("""COMPUTED_VALUE"""),"オオサカアカツキカイ")</f>
        <v>オオサカアカツキカイ</v>
      </c>
      <c r="D210" s="47" t="str">
        <f ca="1">IFERROR(__xludf.DUMMYFUNCTION("""COMPUTED_VALUE"""),"大阪府")</f>
        <v>大阪府</v>
      </c>
      <c r="E210" s="49">
        <f ca="1">IFERROR(__xludf.DUMMYFUNCTION("""COMPUTED_VALUE"""),198)</f>
        <v>198</v>
      </c>
      <c r="F210" s="47" t="str">
        <f ca="1">IFERROR(__xludf.DUMMYFUNCTION("""COMPUTED_VALUE"""),"近畿")</f>
        <v>近畿</v>
      </c>
      <c r="G210" s="47"/>
      <c r="H210" s="47"/>
    </row>
    <row r="211" spans="1:8" ht="15.5">
      <c r="A211" s="2">
        <f ca="1">IFERROR(__xludf.DUMMYFUNCTION("""COMPUTED_VALUE"""),210)</f>
        <v>210</v>
      </c>
      <c r="B211" s="47" t="str">
        <f ca="1">IFERROR(__xludf.DUMMYFUNCTION("""COMPUTED_VALUE"""),"東大阪かるた会")</f>
        <v>東大阪かるた会</v>
      </c>
      <c r="C211" s="47" t="str">
        <f ca="1">IFERROR(__xludf.DUMMYFUNCTION("""COMPUTED_VALUE"""),"ヒガシオオサカカルタカイ")</f>
        <v>ヒガシオオサカカルタカイ</v>
      </c>
      <c r="D211" s="47" t="str">
        <f ca="1">IFERROR(__xludf.DUMMYFUNCTION("""COMPUTED_VALUE"""),"大阪府")</f>
        <v>大阪府</v>
      </c>
      <c r="E211" s="49">
        <f ca="1">IFERROR(__xludf.DUMMYFUNCTION("""COMPUTED_VALUE"""),199)</f>
        <v>199</v>
      </c>
      <c r="F211" s="47" t="str">
        <f ca="1">IFERROR(__xludf.DUMMYFUNCTION("""COMPUTED_VALUE"""),"近畿")</f>
        <v>近畿</v>
      </c>
      <c r="G211" s="47"/>
      <c r="H211" s="47"/>
    </row>
    <row r="212" spans="1:8" ht="15.5">
      <c r="A212" s="2">
        <f ca="1">IFERROR(__xludf.DUMMYFUNCTION("""COMPUTED_VALUE"""),211)</f>
        <v>211</v>
      </c>
      <c r="B212" s="47" t="str">
        <f ca="1">IFERROR(__xludf.DUMMYFUNCTION("""COMPUTED_VALUE"""),"堺多羅葉会")</f>
        <v>堺多羅葉会</v>
      </c>
      <c r="C212" s="47" t="str">
        <f ca="1">IFERROR(__xludf.DUMMYFUNCTION("""COMPUTED_VALUE"""),"サカイタラバカイ")</f>
        <v>サカイタラバカイ</v>
      </c>
      <c r="D212" s="47" t="str">
        <f ca="1">IFERROR(__xludf.DUMMYFUNCTION("""COMPUTED_VALUE"""),"大阪府")</f>
        <v>大阪府</v>
      </c>
      <c r="E212" s="49">
        <f ca="1">IFERROR(__xludf.DUMMYFUNCTION("""COMPUTED_VALUE"""),200)</f>
        <v>200</v>
      </c>
      <c r="F212" s="47" t="str">
        <f ca="1">IFERROR(__xludf.DUMMYFUNCTION("""COMPUTED_VALUE"""),"近畿")</f>
        <v>近畿</v>
      </c>
      <c r="G212" s="47" t="str">
        <f ca="1">IFERROR(__xludf.DUMMYFUNCTION("""COMPUTED_VALUE"""),"非公認")</f>
        <v>非公認</v>
      </c>
      <c r="H212" s="47"/>
    </row>
    <row r="213" spans="1:8" ht="15.5">
      <c r="A213" s="2">
        <f ca="1">IFERROR(__xludf.DUMMYFUNCTION("""COMPUTED_VALUE"""),212)</f>
        <v>212</v>
      </c>
      <c r="B213" s="47" t="str">
        <f ca="1">IFERROR(__xludf.DUMMYFUNCTION("""COMPUTED_VALUE"""),"吹田わびぬればかるた会")</f>
        <v>吹田わびぬればかるた会</v>
      </c>
      <c r="C213" s="47" t="str">
        <f ca="1">IFERROR(__xludf.DUMMYFUNCTION("""COMPUTED_VALUE"""),"スイタワビヌレバカルタカイ")</f>
        <v>スイタワビヌレバカルタカイ</v>
      </c>
      <c r="D213" s="47" t="str">
        <f ca="1">IFERROR(__xludf.DUMMYFUNCTION("""COMPUTED_VALUE"""),"大阪府")</f>
        <v>大阪府</v>
      </c>
      <c r="E213" s="49">
        <f ca="1">IFERROR(__xludf.DUMMYFUNCTION("""COMPUTED_VALUE"""),201)</f>
        <v>201</v>
      </c>
      <c r="F213" s="47" t="str">
        <f ca="1">IFERROR(__xludf.DUMMYFUNCTION("""COMPUTED_VALUE"""),"近畿")</f>
        <v>近畿</v>
      </c>
      <c r="G213" s="47" t="str">
        <f ca="1">IFERROR(__xludf.DUMMYFUNCTION("""COMPUTED_VALUE"""),"非公認")</f>
        <v>非公認</v>
      </c>
      <c r="H213" s="47"/>
    </row>
    <row r="214" spans="1:8" ht="15.5">
      <c r="A214" s="2">
        <f ca="1">IFERROR(__xludf.DUMMYFUNCTION("""COMPUTED_VALUE"""),213)</f>
        <v>213</v>
      </c>
      <c r="B214" s="47" t="str">
        <f ca="1">IFERROR(__xludf.DUMMYFUNCTION("""COMPUTED_VALUE"""),"帝塚山学院高等学校")</f>
        <v>帝塚山学院高等学校</v>
      </c>
      <c r="C214" s="47" t="str">
        <f ca="1">IFERROR(__xludf.DUMMYFUNCTION("""COMPUTED_VALUE"""),"テヅカヤマガクインコウトウガッコウ")</f>
        <v>テヅカヤマガクインコウトウガッコウ</v>
      </c>
      <c r="D214" s="47" t="str">
        <f ca="1">IFERROR(__xludf.DUMMYFUNCTION("""COMPUTED_VALUE"""),"大阪府")</f>
        <v>大阪府</v>
      </c>
      <c r="E214" s="49">
        <f ca="1">IFERROR(__xludf.DUMMYFUNCTION("""COMPUTED_VALUE"""),202)</f>
        <v>202</v>
      </c>
      <c r="F214" s="47" t="str">
        <f ca="1">IFERROR(__xludf.DUMMYFUNCTION("""COMPUTED_VALUE"""),"近畿")</f>
        <v>近畿</v>
      </c>
      <c r="G214" s="47" t="str">
        <f ca="1">IFERROR(__xludf.DUMMYFUNCTION("""COMPUTED_VALUE"""),"非公認")</f>
        <v>非公認</v>
      </c>
      <c r="H214" s="47"/>
    </row>
    <row r="215" spans="1:8" ht="15.5">
      <c r="A215" s="2">
        <f ca="1">IFERROR(__xludf.DUMMYFUNCTION("""COMPUTED_VALUE"""),214)</f>
        <v>214</v>
      </c>
      <c r="B215" s="47" t="str">
        <f ca="1">IFERROR(__xludf.DUMMYFUNCTION("""COMPUTED_VALUE"""),"大手前高等学校")</f>
        <v>大手前高等学校</v>
      </c>
      <c r="C215" s="47" t="str">
        <f ca="1">IFERROR(__xludf.DUMMYFUNCTION("""COMPUTED_VALUE"""),"オオテマエコウトウガッコウ")</f>
        <v>オオテマエコウトウガッコウ</v>
      </c>
      <c r="D215" s="47" t="str">
        <f ca="1">IFERROR(__xludf.DUMMYFUNCTION("""COMPUTED_VALUE"""),"大阪府")</f>
        <v>大阪府</v>
      </c>
      <c r="E215" s="49">
        <f ca="1">IFERROR(__xludf.DUMMYFUNCTION("""COMPUTED_VALUE"""),203)</f>
        <v>203</v>
      </c>
      <c r="F215" s="47" t="str">
        <f ca="1">IFERROR(__xludf.DUMMYFUNCTION("""COMPUTED_VALUE"""),"近畿")</f>
        <v>近畿</v>
      </c>
      <c r="G215" s="47" t="str">
        <f ca="1">IFERROR(__xludf.DUMMYFUNCTION("""COMPUTED_VALUE"""),"非公認")</f>
        <v>非公認</v>
      </c>
      <c r="H215" s="47"/>
    </row>
    <row r="216" spans="1:8" ht="15.5">
      <c r="A216" s="2">
        <f ca="1">IFERROR(__xludf.DUMMYFUNCTION("""COMPUTED_VALUE"""),215)</f>
        <v>215</v>
      </c>
      <c r="B216" s="47" t="str">
        <f ca="1">IFERROR(__xludf.DUMMYFUNCTION("""COMPUTED_VALUE"""),"金蘭千里高等学校")</f>
        <v>金蘭千里高等学校</v>
      </c>
      <c r="C216" s="47" t="str">
        <f ca="1">IFERROR(__xludf.DUMMYFUNCTION("""COMPUTED_VALUE"""),"キンランセンリコウトウガッコウ")</f>
        <v>キンランセンリコウトウガッコウ</v>
      </c>
      <c r="D216" s="47" t="str">
        <f ca="1">IFERROR(__xludf.DUMMYFUNCTION("""COMPUTED_VALUE"""),"大阪府")</f>
        <v>大阪府</v>
      </c>
      <c r="E216" s="49">
        <f ca="1">IFERROR(__xludf.DUMMYFUNCTION("""COMPUTED_VALUE"""),204)</f>
        <v>204</v>
      </c>
      <c r="F216" s="47" t="str">
        <f ca="1">IFERROR(__xludf.DUMMYFUNCTION("""COMPUTED_VALUE"""),"近畿")</f>
        <v>近畿</v>
      </c>
      <c r="G216" s="47" t="str">
        <f ca="1">IFERROR(__xludf.DUMMYFUNCTION("""COMPUTED_VALUE"""),"非公認")</f>
        <v>非公認</v>
      </c>
      <c r="H216" s="47"/>
    </row>
    <row r="217" spans="1:8" ht="15.5">
      <c r="A217" s="2">
        <f ca="1">IFERROR(__xludf.DUMMYFUNCTION("""COMPUTED_VALUE"""),216)</f>
        <v>216</v>
      </c>
      <c r="B217" s="47" t="str">
        <f ca="1">IFERROR(__xludf.DUMMYFUNCTION("""COMPUTED_VALUE"""),"茨木高等学校")</f>
        <v>茨木高等学校</v>
      </c>
      <c r="C217" s="47" t="str">
        <f ca="1">IFERROR(__xludf.DUMMYFUNCTION("""COMPUTED_VALUE"""),"イバラキコウトウガッコウ")</f>
        <v>イバラキコウトウガッコウ</v>
      </c>
      <c r="D217" s="47" t="str">
        <f ca="1">IFERROR(__xludf.DUMMYFUNCTION("""COMPUTED_VALUE"""),"大阪府")</f>
        <v>大阪府</v>
      </c>
      <c r="E217" s="49">
        <f ca="1">IFERROR(__xludf.DUMMYFUNCTION("""COMPUTED_VALUE"""),205)</f>
        <v>205</v>
      </c>
      <c r="F217" s="47" t="str">
        <f ca="1">IFERROR(__xludf.DUMMYFUNCTION("""COMPUTED_VALUE"""),"近畿")</f>
        <v>近畿</v>
      </c>
      <c r="G217" s="47" t="str">
        <f ca="1">IFERROR(__xludf.DUMMYFUNCTION("""COMPUTED_VALUE"""),"非公認")</f>
        <v>非公認</v>
      </c>
      <c r="H217" s="47"/>
    </row>
    <row r="218" spans="1:8" ht="15.5">
      <c r="A218" s="2">
        <f ca="1">IFERROR(__xludf.DUMMYFUNCTION("""COMPUTED_VALUE"""),217)</f>
        <v>217</v>
      </c>
      <c r="B218" s="47" t="str">
        <f ca="1">IFERROR(__xludf.DUMMYFUNCTION("""COMPUTED_VALUE"""),"生野高等学校")</f>
        <v>生野高等学校</v>
      </c>
      <c r="C218" s="47" t="str">
        <f ca="1">IFERROR(__xludf.DUMMYFUNCTION("""COMPUTED_VALUE"""),"イクノコウトウガッコウ")</f>
        <v>イクノコウトウガッコウ</v>
      </c>
      <c r="D218" s="47" t="str">
        <f ca="1">IFERROR(__xludf.DUMMYFUNCTION("""COMPUTED_VALUE"""),"大阪府")</f>
        <v>大阪府</v>
      </c>
      <c r="E218" s="49">
        <f ca="1">IFERROR(__xludf.DUMMYFUNCTION("""COMPUTED_VALUE"""),206)</f>
        <v>206</v>
      </c>
      <c r="F218" s="47" t="str">
        <f ca="1">IFERROR(__xludf.DUMMYFUNCTION("""COMPUTED_VALUE"""),"近畿")</f>
        <v>近畿</v>
      </c>
      <c r="G218" s="47" t="str">
        <f ca="1">IFERROR(__xludf.DUMMYFUNCTION("""COMPUTED_VALUE"""),"非公認")</f>
        <v>非公認</v>
      </c>
      <c r="H218" s="47"/>
    </row>
    <row r="219" spans="1:8" ht="15.5">
      <c r="A219" s="2">
        <f ca="1">IFERROR(__xludf.DUMMYFUNCTION("""COMPUTED_VALUE"""),218)</f>
        <v>218</v>
      </c>
      <c r="B219" s="47" t="str">
        <f ca="1">IFERROR(__xludf.DUMMYFUNCTION("""COMPUTED_VALUE"""),"清水谷高等学校")</f>
        <v>清水谷高等学校</v>
      </c>
      <c r="C219" s="47" t="str">
        <f ca="1">IFERROR(__xludf.DUMMYFUNCTION("""COMPUTED_VALUE"""),"シミズダニコウトウガッコウ")</f>
        <v>シミズダニコウトウガッコウ</v>
      </c>
      <c r="D219" s="47" t="str">
        <f ca="1">IFERROR(__xludf.DUMMYFUNCTION("""COMPUTED_VALUE"""),"大阪府")</f>
        <v>大阪府</v>
      </c>
      <c r="E219" s="49">
        <f ca="1">IFERROR(__xludf.DUMMYFUNCTION("""COMPUTED_VALUE"""),207)</f>
        <v>207</v>
      </c>
      <c r="F219" s="47" t="str">
        <f ca="1">IFERROR(__xludf.DUMMYFUNCTION("""COMPUTED_VALUE"""),"近畿")</f>
        <v>近畿</v>
      </c>
      <c r="G219" s="47" t="str">
        <f ca="1">IFERROR(__xludf.DUMMYFUNCTION("""COMPUTED_VALUE"""),"非公認")</f>
        <v>非公認</v>
      </c>
      <c r="H219" s="47"/>
    </row>
    <row r="220" spans="1:8" ht="15.5">
      <c r="A220" s="2">
        <f ca="1">IFERROR(__xludf.DUMMYFUNCTION("""COMPUTED_VALUE"""),219)</f>
        <v>219</v>
      </c>
      <c r="B220" s="47" t="str">
        <f ca="1">IFERROR(__xludf.DUMMYFUNCTION("""COMPUTED_VALUE"""),"桃山学院高等学校")</f>
        <v>桃山学院高等学校</v>
      </c>
      <c r="C220" s="47" t="str">
        <f ca="1">IFERROR(__xludf.DUMMYFUNCTION("""COMPUTED_VALUE"""),"モモヤマガクインコウトウガッコウ")</f>
        <v>モモヤマガクインコウトウガッコウ</v>
      </c>
      <c r="D220" s="47" t="str">
        <f ca="1">IFERROR(__xludf.DUMMYFUNCTION("""COMPUTED_VALUE"""),"大阪府")</f>
        <v>大阪府</v>
      </c>
      <c r="E220" s="49">
        <f ca="1">IFERROR(__xludf.DUMMYFUNCTION("""COMPUTED_VALUE"""),208)</f>
        <v>208</v>
      </c>
      <c r="F220" s="47" t="str">
        <f ca="1">IFERROR(__xludf.DUMMYFUNCTION("""COMPUTED_VALUE"""),"近畿")</f>
        <v>近畿</v>
      </c>
      <c r="G220" s="47" t="str">
        <f ca="1">IFERROR(__xludf.DUMMYFUNCTION("""COMPUTED_VALUE"""),"非公認")</f>
        <v>非公認</v>
      </c>
      <c r="H220" s="47"/>
    </row>
    <row r="221" spans="1:8" ht="15.5">
      <c r="A221" s="2">
        <f ca="1">IFERROR(__xludf.DUMMYFUNCTION("""COMPUTED_VALUE"""),220)</f>
        <v>220</v>
      </c>
      <c r="B221" s="47" t="str">
        <f ca="1">IFERROR(__xludf.DUMMYFUNCTION("""COMPUTED_VALUE"""),"池田高等学校")</f>
        <v>池田高等学校</v>
      </c>
      <c r="C221" s="47" t="str">
        <f ca="1">IFERROR(__xludf.DUMMYFUNCTION("""COMPUTED_VALUE"""),"イケダコウトウガッコウ")</f>
        <v>イケダコウトウガッコウ</v>
      </c>
      <c r="D221" s="47" t="str">
        <f ca="1">IFERROR(__xludf.DUMMYFUNCTION("""COMPUTED_VALUE"""),"大阪府")</f>
        <v>大阪府</v>
      </c>
      <c r="E221" s="49">
        <f ca="1">IFERROR(__xludf.DUMMYFUNCTION("""COMPUTED_VALUE"""),209)</f>
        <v>209</v>
      </c>
      <c r="F221" s="47" t="str">
        <f ca="1">IFERROR(__xludf.DUMMYFUNCTION("""COMPUTED_VALUE"""),"近畿")</f>
        <v>近畿</v>
      </c>
      <c r="G221" s="47" t="str">
        <f ca="1">IFERROR(__xludf.DUMMYFUNCTION("""COMPUTED_VALUE"""),"非公認")</f>
        <v>非公認</v>
      </c>
      <c r="H221" s="47"/>
    </row>
    <row r="222" spans="1:8" ht="15.5">
      <c r="A222" s="2">
        <f ca="1">IFERROR(__xludf.DUMMYFUNCTION("""COMPUTED_VALUE"""),221)</f>
        <v>221</v>
      </c>
      <c r="B222" s="47" t="str">
        <f ca="1">IFERROR(__xludf.DUMMYFUNCTION("""COMPUTED_VALUE"""),"関西大学")</f>
        <v>関西大学</v>
      </c>
      <c r="C222" s="47" t="str">
        <f ca="1">IFERROR(__xludf.DUMMYFUNCTION("""COMPUTED_VALUE"""),"カンサイダイガク")</f>
        <v>カンサイダイガク</v>
      </c>
      <c r="D222" s="47" t="str">
        <f ca="1">IFERROR(__xludf.DUMMYFUNCTION("""COMPUTED_VALUE"""),"大阪府")</f>
        <v>大阪府</v>
      </c>
      <c r="E222" s="49">
        <f ca="1">IFERROR(__xludf.DUMMYFUNCTION("""COMPUTED_VALUE"""),210)</f>
        <v>210</v>
      </c>
      <c r="F222" s="47" t="str">
        <f ca="1">IFERROR(__xludf.DUMMYFUNCTION("""COMPUTED_VALUE"""),"近畿")</f>
        <v>近畿</v>
      </c>
      <c r="G222" s="47" t="str">
        <f ca="1">IFERROR(__xludf.DUMMYFUNCTION("""COMPUTED_VALUE"""),"非公認")</f>
        <v>非公認</v>
      </c>
      <c r="H222" s="47"/>
    </row>
    <row r="223" spans="1:8" ht="15.5">
      <c r="A223" s="2">
        <f ca="1">IFERROR(__xludf.DUMMYFUNCTION("""COMPUTED_VALUE"""),222)</f>
        <v>222</v>
      </c>
      <c r="B223" s="47" t="str">
        <f ca="1">IFERROR(__xludf.DUMMYFUNCTION("""COMPUTED_VALUE"""),"兵庫県かるた協会")</f>
        <v>兵庫県かるた協会</v>
      </c>
      <c r="C223" s="47" t="str">
        <f ca="1">IFERROR(__xludf.DUMMYFUNCTION("""COMPUTED_VALUE"""),"ヒョウゴケンカルタキョウカイ")</f>
        <v>ヒョウゴケンカルタキョウカイ</v>
      </c>
      <c r="D223" s="47" t="str">
        <f ca="1">IFERROR(__xludf.DUMMYFUNCTION("""COMPUTED_VALUE"""),"兵庫県")</f>
        <v>兵庫県</v>
      </c>
      <c r="E223" s="49">
        <f ca="1">IFERROR(__xludf.DUMMYFUNCTION("""COMPUTED_VALUE"""),211)</f>
        <v>211</v>
      </c>
      <c r="F223" s="47" t="str">
        <f ca="1">IFERROR(__xludf.DUMMYFUNCTION("""COMPUTED_VALUE"""),"近畿")</f>
        <v>近畿</v>
      </c>
      <c r="G223" s="47"/>
      <c r="H223" s="47"/>
    </row>
    <row r="224" spans="1:8" ht="15.5">
      <c r="A224" s="2">
        <f ca="1">IFERROR(__xludf.DUMMYFUNCTION("""COMPUTED_VALUE"""),223)</f>
        <v>223</v>
      </c>
      <c r="B224" s="47" t="str">
        <f ca="1">IFERROR(__xludf.DUMMYFUNCTION("""COMPUTED_VALUE"""),"神戸大学かるた会")</f>
        <v>神戸大学かるた会</v>
      </c>
      <c r="C224" s="47" t="str">
        <f ca="1">IFERROR(__xludf.DUMMYFUNCTION("""COMPUTED_VALUE"""),"コウベダイガクカルタカイ")</f>
        <v>コウベダイガクカルタカイ</v>
      </c>
      <c r="D224" s="47" t="str">
        <f ca="1">IFERROR(__xludf.DUMMYFUNCTION("""COMPUTED_VALUE"""),"兵庫県")</f>
        <v>兵庫県</v>
      </c>
      <c r="E224" s="49">
        <f ca="1">IFERROR(__xludf.DUMMYFUNCTION("""COMPUTED_VALUE"""),212)</f>
        <v>212</v>
      </c>
      <c r="F224" s="47" t="str">
        <f ca="1">IFERROR(__xludf.DUMMYFUNCTION("""COMPUTED_VALUE"""),"近畿")</f>
        <v>近畿</v>
      </c>
      <c r="G224" s="47"/>
      <c r="H224" s="47"/>
    </row>
    <row r="225" spans="1:8" ht="15.5">
      <c r="A225" s="2">
        <f ca="1">IFERROR(__xludf.DUMMYFUNCTION("""COMPUTED_VALUE"""),224)</f>
        <v>224</v>
      </c>
      <c r="B225" s="47" t="str">
        <f ca="1">IFERROR(__xludf.DUMMYFUNCTION("""COMPUTED_VALUE"""),"神戸田子の浦会")</f>
        <v>神戸田子の浦会</v>
      </c>
      <c r="C225" s="47" t="str">
        <f ca="1">IFERROR(__xludf.DUMMYFUNCTION("""COMPUTED_VALUE"""),"コウベタゴノウラカイ")</f>
        <v>コウベタゴノウラカイ</v>
      </c>
      <c r="D225" s="47" t="str">
        <f ca="1">IFERROR(__xludf.DUMMYFUNCTION("""COMPUTED_VALUE"""),"兵庫県")</f>
        <v>兵庫県</v>
      </c>
      <c r="E225" s="49">
        <f ca="1">IFERROR(__xludf.DUMMYFUNCTION("""COMPUTED_VALUE"""),213)</f>
        <v>213</v>
      </c>
      <c r="F225" s="47" t="str">
        <f ca="1">IFERROR(__xludf.DUMMYFUNCTION("""COMPUTED_VALUE"""),"近畿")</f>
        <v>近畿</v>
      </c>
      <c r="G225" s="47"/>
      <c r="H225" s="47"/>
    </row>
    <row r="226" spans="1:8" ht="15.5">
      <c r="A226" s="2">
        <f ca="1">IFERROR(__xludf.DUMMYFUNCTION("""COMPUTED_VALUE"""),225)</f>
        <v>225</v>
      </c>
      <c r="B226" s="47" t="str">
        <f ca="1">IFERROR(__xludf.DUMMYFUNCTION("""COMPUTED_VALUE"""),"篠山かるた会")</f>
        <v>篠山かるた会</v>
      </c>
      <c r="C226" s="47" t="str">
        <f ca="1">IFERROR(__xludf.DUMMYFUNCTION("""COMPUTED_VALUE"""),"ササヤマカルタカイ")</f>
        <v>ササヤマカルタカイ</v>
      </c>
      <c r="D226" s="47" t="str">
        <f ca="1">IFERROR(__xludf.DUMMYFUNCTION("""COMPUTED_VALUE"""),"兵庫県")</f>
        <v>兵庫県</v>
      </c>
      <c r="E226" s="49">
        <f ca="1">IFERROR(__xludf.DUMMYFUNCTION("""COMPUTED_VALUE"""),214)</f>
        <v>214</v>
      </c>
      <c r="F226" s="47" t="str">
        <f ca="1">IFERROR(__xludf.DUMMYFUNCTION("""COMPUTED_VALUE"""),"近畿")</f>
        <v>近畿</v>
      </c>
      <c r="G226" s="47"/>
      <c r="H226" s="47"/>
    </row>
    <row r="227" spans="1:8" ht="15.5">
      <c r="A227" s="2">
        <f ca="1">IFERROR(__xludf.DUMMYFUNCTION("""COMPUTED_VALUE"""),226)</f>
        <v>226</v>
      </c>
      <c r="B227" s="47" t="str">
        <f ca="1">IFERROR(__xludf.DUMMYFUNCTION("""COMPUTED_VALUE"""),"須磨千鳥かるた会")</f>
        <v>須磨千鳥かるた会</v>
      </c>
      <c r="C227" s="47" t="str">
        <f ca="1">IFERROR(__xludf.DUMMYFUNCTION("""COMPUTED_VALUE"""),"スマチドリカルタカイ")</f>
        <v>スマチドリカルタカイ</v>
      </c>
      <c r="D227" s="47" t="str">
        <f ca="1">IFERROR(__xludf.DUMMYFUNCTION("""COMPUTED_VALUE"""),"兵庫県")</f>
        <v>兵庫県</v>
      </c>
      <c r="E227" s="49">
        <f ca="1">IFERROR(__xludf.DUMMYFUNCTION("""COMPUTED_VALUE"""),215)</f>
        <v>215</v>
      </c>
      <c r="F227" s="47" t="str">
        <f ca="1">IFERROR(__xludf.DUMMYFUNCTION("""COMPUTED_VALUE"""),"近畿")</f>
        <v>近畿</v>
      </c>
      <c r="G227" s="47"/>
      <c r="H227" s="47"/>
    </row>
    <row r="228" spans="1:8" ht="15.5">
      <c r="A228" s="2">
        <f ca="1">IFERROR(__xludf.DUMMYFUNCTION("""COMPUTED_VALUE"""),227)</f>
        <v>227</v>
      </c>
      <c r="B228" s="47" t="str">
        <f ca="1">IFERROR(__xludf.DUMMYFUNCTION("""COMPUTED_VALUE"""),"奈良かるた会")</f>
        <v>奈良かるた会</v>
      </c>
      <c r="C228" s="47" t="str">
        <f ca="1">IFERROR(__xludf.DUMMYFUNCTION("""COMPUTED_VALUE"""),"ナラカルタカイ")</f>
        <v>ナラカルタカイ</v>
      </c>
      <c r="D228" s="47" t="str">
        <f ca="1">IFERROR(__xludf.DUMMYFUNCTION("""COMPUTED_VALUE"""),"奈良県")</f>
        <v>奈良県</v>
      </c>
      <c r="E228" s="49">
        <f ca="1">IFERROR(__xludf.DUMMYFUNCTION("""COMPUTED_VALUE"""),216)</f>
        <v>216</v>
      </c>
      <c r="F228" s="47" t="str">
        <f ca="1">IFERROR(__xludf.DUMMYFUNCTION("""COMPUTED_VALUE"""),"近畿")</f>
        <v>近畿</v>
      </c>
      <c r="G228" s="47"/>
      <c r="H228" s="47"/>
    </row>
    <row r="229" spans="1:8" ht="15.5">
      <c r="A229" s="2">
        <f ca="1">IFERROR(__xludf.DUMMYFUNCTION("""COMPUTED_VALUE"""),228)</f>
        <v>228</v>
      </c>
      <c r="B229" s="47" t="str">
        <f ca="1">IFERROR(__xludf.DUMMYFUNCTION("""COMPUTED_VALUE"""),"和歌山かるた会")</f>
        <v>和歌山かるた会</v>
      </c>
      <c r="C229" s="47" t="str">
        <f ca="1">IFERROR(__xludf.DUMMYFUNCTION("""COMPUTED_VALUE"""),"ワカヤマカルタカイ")</f>
        <v>ワカヤマカルタカイ</v>
      </c>
      <c r="D229" s="47" t="str">
        <f ca="1">IFERROR(__xludf.DUMMYFUNCTION("""COMPUTED_VALUE"""),"和歌山県")</f>
        <v>和歌山県</v>
      </c>
      <c r="E229" s="49">
        <f ca="1">IFERROR(__xludf.DUMMYFUNCTION("""COMPUTED_VALUE"""),217)</f>
        <v>217</v>
      </c>
      <c r="F229" s="47" t="str">
        <f ca="1">IFERROR(__xludf.DUMMYFUNCTION("""COMPUTED_VALUE"""),"近畿")</f>
        <v>近畿</v>
      </c>
      <c r="G229" s="47"/>
      <c r="H229" s="47"/>
    </row>
    <row r="230" spans="1:8" ht="15.5">
      <c r="A230" s="2">
        <f ca="1">IFERROR(__xludf.DUMMYFUNCTION("""COMPUTED_VALUE"""),229)</f>
        <v>229</v>
      </c>
      <c r="B230" s="47" t="str">
        <f ca="1">IFERROR(__xludf.DUMMYFUNCTION("""COMPUTED_VALUE"""),"吉備の国かるた会")</f>
        <v>吉備の国かるた会</v>
      </c>
      <c r="C230" s="47" t="str">
        <f ca="1">IFERROR(__xludf.DUMMYFUNCTION("""COMPUTED_VALUE"""),"キビノクニカルタカイ")</f>
        <v>キビノクニカルタカイ</v>
      </c>
      <c r="D230" s="47" t="str">
        <f ca="1">IFERROR(__xludf.DUMMYFUNCTION("""COMPUTED_VALUE"""),"岡山県")</f>
        <v>岡山県</v>
      </c>
      <c r="E230" s="49">
        <f ca="1">IFERROR(__xludf.DUMMYFUNCTION("""COMPUTED_VALUE"""),218)</f>
        <v>218</v>
      </c>
      <c r="F230" s="47" t="str">
        <f ca="1">IFERROR(__xludf.DUMMYFUNCTION("""COMPUTED_VALUE"""),"中国")</f>
        <v>中国</v>
      </c>
      <c r="G230" s="47"/>
      <c r="H230" s="47"/>
    </row>
    <row r="231" spans="1:8" ht="15.5">
      <c r="A231" s="2">
        <f ca="1">IFERROR(__xludf.DUMMYFUNCTION("""COMPUTED_VALUE"""),230)</f>
        <v>230</v>
      </c>
      <c r="B231" s="47" t="str">
        <f ca="1">IFERROR(__xludf.DUMMYFUNCTION("""COMPUTED_VALUE"""),"鳥取万葉かるた会")</f>
        <v>鳥取万葉かるた会</v>
      </c>
      <c r="C231" s="47" t="str">
        <f ca="1">IFERROR(__xludf.DUMMYFUNCTION("""COMPUTED_VALUE"""),"トットリマンヨウカルタカイ")</f>
        <v>トットリマンヨウカルタカイ</v>
      </c>
      <c r="D231" s="47" t="str">
        <f ca="1">IFERROR(__xludf.DUMMYFUNCTION("""COMPUTED_VALUE"""),"鳥取県")</f>
        <v>鳥取県</v>
      </c>
      <c r="E231" s="49">
        <f ca="1">IFERROR(__xludf.DUMMYFUNCTION("""COMPUTED_VALUE"""),219)</f>
        <v>219</v>
      </c>
      <c r="F231" s="47" t="str">
        <f ca="1">IFERROR(__xludf.DUMMYFUNCTION("""COMPUTED_VALUE"""),"中国")</f>
        <v>中国</v>
      </c>
      <c r="G231" s="47"/>
      <c r="H231" s="47"/>
    </row>
    <row r="232" spans="1:8" ht="15.5">
      <c r="A232" s="2">
        <f ca="1">IFERROR(__xludf.DUMMYFUNCTION("""COMPUTED_VALUE"""),231)</f>
        <v>231</v>
      </c>
      <c r="B232" s="47" t="str">
        <f ca="1">IFERROR(__xludf.DUMMYFUNCTION("""COMPUTED_VALUE"""),"呉かるた会")</f>
        <v>呉かるた会</v>
      </c>
      <c r="C232" s="47" t="str">
        <f ca="1">IFERROR(__xludf.DUMMYFUNCTION("""COMPUTED_VALUE"""),"クレカルタカイ")</f>
        <v>クレカルタカイ</v>
      </c>
      <c r="D232" s="47" t="str">
        <f ca="1">IFERROR(__xludf.DUMMYFUNCTION("""COMPUTED_VALUE"""),"広島県")</f>
        <v>広島県</v>
      </c>
      <c r="E232" s="49">
        <f ca="1">IFERROR(__xludf.DUMMYFUNCTION("""COMPUTED_VALUE"""),220)</f>
        <v>220</v>
      </c>
      <c r="F232" s="47" t="str">
        <f ca="1">IFERROR(__xludf.DUMMYFUNCTION("""COMPUTED_VALUE"""),"中国")</f>
        <v>中国</v>
      </c>
      <c r="G232" s="47"/>
      <c r="H232" s="47"/>
    </row>
    <row r="233" spans="1:8" ht="15.5">
      <c r="A233" s="2">
        <f ca="1">IFERROR(__xludf.DUMMYFUNCTION("""COMPUTED_VALUE"""),232)</f>
        <v>232</v>
      </c>
      <c r="B233" s="47" t="str">
        <f ca="1">IFERROR(__xludf.DUMMYFUNCTION("""COMPUTED_VALUE"""),"広島紅葉かるた会")</f>
        <v>広島紅葉かるた会</v>
      </c>
      <c r="C233" s="47" t="str">
        <f ca="1">IFERROR(__xludf.DUMMYFUNCTION("""COMPUTED_VALUE"""),"ヒロシマモミジカルタカイ")</f>
        <v>ヒロシマモミジカルタカイ</v>
      </c>
      <c r="D233" s="47" t="str">
        <f ca="1">IFERROR(__xludf.DUMMYFUNCTION("""COMPUTED_VALUE"""),"広島県")</f>
        <v>広島県</v>
      </c>
      <c r="E233" s="49">
        <f ca="1">IFERROR(__xludf.DUMMYFUNCTION("""COMPUTED_VALUE"""),221)</f>
        <v>221</v>
      </c>
      <c r="F233" s="47" t="str">
        <f ca="1">IFERROR(__xludf.DUMMYFUNCTION("""COMPUTED_VALUE"""),"中国")</f>
        <v>中国</v>
      </c>
      <c r="G233" s="47"/>
      <c r="H233" s="47"/>
    </row>
    <row r="234" spans="1:8" ht="15.5">
      <c r="A234" s="2">
        <f ca="1">IFERROR(__xludf.DUMMYFUNCTION("""COMPUTED_VALUE"""),233)</f>
        <v>233</v>
      </c>
      <c r="B234" s="47" t="str">
        <f ca="1">IFERROR(__xludf.DUMMYFUNCTION("""COMPUTED_VALUE"""),"美山会")</f>
        <v>美山会</v>
      </c>
      <c r="C234" s="47" t="str">
        <f ca="1">IFERROR(__xludf.DUMMYFUNCTION("""COMPUTED_VALUE"""),"ミヤマカイ")</f>
        <v>ミヤマカイ</v>
      </c>
      <c r="D234" s="47" t="str">
        <f ca="1">IFERROR(__xludf.DUMMYFUNCTION("""COMPUTED_VALUE"""),"広島県")</f>
        <v>広島県</v>
      </c>
      <c r="E234" s="49">
        <f ca="1">IFERROR(__xludf.DUMMYFUNCTION("""COMPUTED_VALUE"""),222)</f>
        <v>222</v>
      </c>
      <c r="F234" s="47" t="str">
        <f ca="1">IFERROR(__xludf.DUMMYFUNCTION("""COMPUTED_VALUE"""),"中国")</f>
        <v>中国</v>
      </c>
      <c r="G234" s="47"/>
      <c r="H234" s="47"/>
    </row>
    <row r="235" spans="1:8" ht="15.5">
      <c r="A235" s="2">
        <f ca="1">IFERROR(__xludf.DUMMYFUNCTION("""COMPUTED_VALUE"""),234)</f>
        <v>234</v>
      </c>
      <c r="B235" s="44" t="str">
        <f ca="1">IFERROR(__xludf.DUMMYFUNCTION("""COMPUTED_VALUE"""),"若鯉KC")</f>
        <v>若鯉KC</v>
      </c>
      <c r="C235" s="44" t="str">
        <f ca="1">IFERROR(__xludf.DUMMYFUNCTION("""COMPUTED_VALUE"""),"ワカゴイケーシー")</f>
        <v>ワカゴイケーシー</v>
      </c>
      <c r="D235" s="44" t="str">
        <f ca="1">IFERROR(__xludf.DUMMYFUNCTION("""COMPUTED_VALUE"""),"広島県")</f>
        <v>広島県</v>
      </c>
      <c r="E235" s="46">
        <f ca="1">IFERROR(__xludf.DUMMYFUNCTION("""COMPUTED_VALUE"""),223)</f>
        <v>223</v>
      </c>
      <c r="F235" s="2" t="str">
        <f ca="1">IFERROR(__xludf.DUMMYFUNCTION("""COMPUTED_VALUE"""),"中国")</f>
        <v>中国</v>
      </c>
      <c r="G235" s="44"/>
      <c r="H235" s="44"/>
    </row>
    <row r="236" spans="1:8" ht="15.5">
      <c r="A236" s="2">
        <f ca="1">IFERROR(__xludf.DUMMYFUNCTION("""COMPUTED_VALUE"""),235)</f>
        <v>235</v>
      </c>
      <c r="B236" s="44" t="str">
        <f ca="1">IFERROR(__xludf.DUMMYFUNCTION("""COMPUTED_VALUE"""),"島根かるた会")</f>
        <v>島根かるた会</v>
      </c>
      <c r="C236" s="44" t="str">
        <f ca="1">IFERROR(__xludf.DUMMYFUNCTION("""COMPUTED_VALUE"""),"シマネカルタカイ")</f>
        <v>シマネカルタカイ</v>
      </c>
      <c r="D236" s="44" t="str">
        <f ca="1">IFERROR(__xludf.DUMMYFUNCTION("""COMPUTED_VALUE"""),"島根県")</f>
        <v>島根県</v>
      </c>
      <c r="E236" s="46">
        <f ca="1">IFERROR(__xludf.DUMMYFUNCTION("""COMPUTED_VALUE"""),224)</f>
        <v>224</v>
      </c>
      <c r="F236" s="2" t="str">
        <f ca="1">IFERROR(__xludf.DUMMYFUNCTION("""COMPUTED_VALUE"""),"中国")</f>
        <v>中国</v>
      </c>
      <c r="G236" s="44"/>
      <c r="H236" s="44"/>
    </row>
    <row r="237" spans="1:8" ht="15.5">
      <c r="A237" s="2">
        <f ca="1">IFERROR(__xludf.DUMMYFUNCTION("""COMPUTED_VALUE"""),236)</f>
        <v>236</v>
      </c>
      <c r="B237" s="44" t="str">
        <f ca="1">IFERROR(__xludf.DUMMYFUNCTION("""COMPUTED_VALUE"""),"山口かるた会")</f>
        <v>山口かるた会</v>
      </c>
      <c r="C237" s="44" t="str">
        <f ca="1">IFERROR(__xludf.DUMMYFUNCTION("""COMPUTED_VALUE"""),"ヤマグチカルタカイ")</f>
        <v>ヤマグチカルタカイ</v>
      </c>
      <c r="D237" s="44" t="str">
        <f ca="1">IFERROR(__xludf.DUMMYFUNCTION("""COMPUTED_VALUE"""),"山口県")</f>
        <v>山口県</v>
      </c>
      <c r="E237" s="46">
        <f ca="1">IFERROR(__xludf.DUMMYFUNCTION("""COMPUTED_VALUE"""),225)</f>
        <v>225</v>
      </c>
      <c r="F237" s="2" t="str">
        <f ca="1">IFERROR(__xludf.DUMMYFUNCTION("""COMPUTED_VALUE"""),"中国")</f>
        <v>中国</v>
      </c>
      <c r="G237" s="44"/>
      <c r="H237" s="44"/>
    </row>
    <row r="238" spans="1:8" ht="15.5">
      <c r="A238" s="2">
        <f ca="1">IFERROR(__xludf.DUMMYFUNCTION("""COMPUTED_VALUE"""),237)</f>
        <v>237</v>
      </c>
      <c r="B238" s="44" t="str">
        <f ca="1">IFERROR(__xludf.DUMMYFUNCTION("""COMPUTED_VALUE"""),"阿波かるた会")</f>
        <v>阿波かるた会</v>
      </c>
      <c r="C238" s="44" t="str">
        <f ca="1">IFERROR(__xludf.DUMMYFUNCTION("""COMPUTED_VALUE"""),"アワカルタカイ")</f>
        <v>アワカルタカイ</v>
      </c>
      <c r="D238" s="44" t="str">
        <f ca="1">IFERROR(__xludf.DUMMYFUNCTION("""COMPUTED_VALUE"""),"徳島県")</f>
        <v>徳島県</v>
      </c>
      <c r="E238" s="46">
        <f ca="1">IFERROR(__xludf.DUMMYFUNCTION("""COMPUTED_VALUE"""),226)</f>
        <v>226</v>
      </c>
      <c r="F238" s="2" t="str">
        <f ca="1">IFERROR(__xludf.DUMMYFUNCTION("""COMPUTED_VALUE"""),"四国")</f>
        <v>四国</v>
      </c>
      <c r="G238" s="44"/>
      <c r="H238" s="44"/>
    </row>
    <row r="239" spans="1:8" ht="15.5">
      <c r="A239" s="2">
        <f ca="1">IFERROR(__xludf.DUMMYFUNCTION("""COMPUTED_VALUE"""),238)</f>
        <v>238</v>
      </c>
      <c r="B239" s="44" t="str">
        <f ca="1">IFERROR(__xludf.DUMMYFUNCTION("""COMPUTED_VALUE"""),"香川玉藻かるた会")</f>
        <v>香川玉藻かるた会</v>
      </c>
      <c r="C239" s="44" t="str">
        <f ca="1">IFERROR(__xludf.DUMMYFUNCTION("""COMPUTED_VALUE"""),"カガワタマモカルタカイ")</f>
        <v>カガワタマモカルタカイ</v>
      </c>
      <c r="D239" s="44" t="str">
        <f ca="1">IFERROR(__xludf.DUMMYFUNCTION("""COMPUTED_VALUE"""),"香川県")</f>
        <v>香川県</v>
      </c>
      <c r="E239" s="46">
        <f ca="1">IFERROR(__xludf.DUMMYFUNCTION("""COMPUTED_VALUE"""),227)</f>
        <v>227</v>
      </c>
      <c r="F239" s="2" t="str">
        <f ca="1">IFERROR(__xludf.DUMMYFUNCTION("""COMPUTED_VALUE"""),"四国")</f>
        <v>四国</v>
      </c>
      <c r="G239" s="44"/>
      <c r="H239" s="44"/>
    </row>
    <row r="240" spans="1:8" ht="15.5">
      <c r="A240" s="2">
        <f ca="1">IFERROR(__xludf.DUMMYFUNCTION("""COMPUTED_VALUE"""),239)</f>
        <v>239</v>
      </c>
      <c r="B240" s="44" t="str">
        <f ca="1">IFERROR(__xludf.DUMMYFUNCTION("""COMPUTED_VALUE"""),"香川高松かるた会")</f>
        <v>香川高松かるた会</v>
      </c>
      <c r="C240" s="44" t="str">
        <f ca="1">IFERROR(__xludf.DUMMYFUNCTION("""COMPUTED_VALUE"""),"カガワタカマツカルタカイ")</f>
        <v>カガワタカマツカルタカイ</v>
      </c>
      <c r="D240" s="44" t="str">
        <f ca="1">IFERROR(__xludf.DUMMYFUNCTION("""COMPUTED_VALUE"""),"香川県")</f>
        <v>香川県</v>
      </c>
      <c r="E240" s="46">
        <f ca="1">IFERROR(__xludf.DUMMYFUNCTION("""COMPUTED_VALUE"""),228)</f>
        <v>228</v>
      </c>
      <c r="F240" s="2" t="str">
        <f ca="1">IFERROR(__xludf.DUMMYFUNCTION("""COMPUTED_VALUE"""),"四国")</f>
        <v>四国</v>
      </c>
      <c r="G240" s="44"/>
      <c r="H240" s="44"/>
    </row>
    <row r="241" spans="1:8" ht="15.5">
      <c r="A241" s="2">
        <f ca="1">IFERROR(__xludf.DUMMYFUNCTION("""COMPUTED_VALUE"""),240)</f>
        <v>240</v>
      </c>
      <c r="B241" s="44" t="str">
        <f ca="1">IFERROR(__xludf.DUMMYFUNCTION("""COMPUTED_VALUE"""),"愛媛かるた会")</f>
        <v>愛媛かるた会</v>
      </c>
      <c r="C241" s="44" t="str">
        <f ca="1">IFERROR(__xludf.DUMMYFUNCTION("""COMPUTED_VALUE"""),"エヒメカルタカイ")</f>
        <v>エヒメカルタカイ</v>
      </c>
      <c r="D241" s="44" t="str">
        <f ca="1">IFERROR(__xludf.DUMMYFUNCTION("""COMPUTED_VALUE"""),"愛媛県")</f>
        <v>愛媛県</v>
      </c>
      <c r="E241" s="46">
        <f ca="1">IFERROR(__xludf.DUMMYFUNCTION("""COMPUTED_VALUE"""),229)</f>
        <v>229</v>
      </c>
      <c r="F241" s="2" t="str">
        <f ca="1">IFERROR(__xludf.DUMMYFUNCTION("""COMPUTED_VALUE"""),"四国")</f>
        <v>四国</v>
      </c>
      <c r="G241" s="44"/>
      <c r="H241" s="44"/>
    </row>
    <row r="242" spans="1:8" ht="15.5">
      <c r="A242" s="2">
        <f ca="1">IFERROR(__xludf.DUMMYFUNCTION("""COMPUTED_VALUE"""),241)</f>
        <v>241</v>
      </c>
      <c r="B242" s="44" t="str">
        <f ca="1">IFERROR(__xludf.DUMMYFUNCTION("""COMPUTED_VALUE"""),"高知かるた会")</f>
        <v>高知かるた会</v>
      </c>
      <c r="C242" s="44" t="str">
        <f ca="1">IFERROR(__xludf.DUMMYFUNCTION("""COMPUTED_VALUE"""),"コウチカルタカイ")</f>
        <v>コウチカルタカイ</v>
      </c>
      <c r="D242" s="44" t="str">
        <f ca="1">IFERROR(__xludf.DUMMYFUNCTION("""COMPUTED_VALUE"""),"高知県")</f>
        <v>高知県</v>
      </c>
      <c r="E242" s="46">
        <f ca="1">IFERROR(__xludf.DUMMYFUNCTION("""COMPUTED_VALUE"""),230)</f>
        <v>230</v>
      </c>
      <c r="F242" s="2" t="str">
        <f ca="1">IFERROR(__xludf.DUMMYFUNCTION("""COMPUTED_VALUE"""),"四国")</f>
        <v>四国</v>
      </c>
      <c r="G242" s="44"/>
      <c r="H242" s="44"/>
    </row>
    <row r="243" spans="1:8" ht="15.5">
      <c r="A243" s="2">
        <f ca="1">IFERROR(__xludf.DUMMYFUNCTION("""COMPUTED_VALUE"""),242)</f>
        <v>242</v>
      </c>
      <c r="B243" s="44" t="str">
        <f ca="1">IFERROR(__xludf.DUMMYFUNCTION("""COMPUTED_VALUE"""),"なみき千早かるた会")</f>
        <v>なみき千早かるた会</v>
      </c>
      <c r="C243" s="44" t="str">
        <f ca="1">IFERROR(__xludf.DUMMYFUNCTION("""COMPUTED_VALUE"""),"ナミキチハヤカルタカイ")</f>
        <v>ナミキチハヤカルタカイ</v>
      </c>
      <c r="D243" s="44" t="str">
        <f ca="1">IFERROR(__xludf.DUMMYFUNCTION("""COMPUTED_VALUE"""),"福岡県")</f>
        <v>福岡県</v>
      </c>
      <c r="E243" s="46">
        <f ca="1">IFERROR(__xludf.DUMMYFUNCTION("""COMPUTED_VALUE"""),231)</f>
        <v>231</v>
      </c>
      <c r="F243" s="2" t="str">
        <f ca="1">IFERROR(__xludf.DUMMYFUNCTION("""COMPUTED_VALUE"""),"九州")</f>
        <v>九州</v>
      </c>
      <c r="G243" s="44"/>
      <c r="H243" s="44"/>
    </row>
    <row r="244" spans="1:8" ht="15.5">
      <c r="A244" s="2">
        <f ca="1">IFERROR(__xludf.DUMMYFUNCTION("""COMPUTED_VALUE"""),243)</f>
        <v>243</v>
      </c>
      <c r="B244" s="44" t="str">
        <f ca="1">IFERROR(__xludf.DUMMYFUNCTION("""COMPUTED_VALUE"""),"ふくはなかるた会")</f>
        <v>ふくはなかるた会</v>
      </c>
      <c r="C244" s="44" t="str">
        <f ca="1">IFERROR(__xludf.DUMMYFUNCTION("""COMPUTED_VALUE"""),"フクハナカルタカイ")</f>
        <v>フクハナカルタカイ</v>
      </c>
      <c r="D244" s="44" t="str">
        <f ca="1">IFERROR(__xludf.DUMMYFUNCTION("""COMPUTED_VALUE"""),"福岡県")</f>
        <v>福岡県</v>
      </c>
      <c r="E244" s="46">
        <f ca="1">IFERROR(__xludf.DUMMYFUNCTION("""COMPUTED_VALUE"""),232)</f>
        <v>232</v>
      </c>
      <c r="F244" s="2" t="str">
        <f ca="1">IFERROR(__xludf.DUMMYFUNCTION("""COMPUTED_VALUE"""),"九州")</f>
        <v>九州</v>
      </c>
      <c r="G244" s="44"/>
      <c r="H244" s="44"/>
    </row>
    <row r="245" spans="1:8" ht="15.5">
      <c r="A245" s="2">
        <f ca="1">IFERROR(__xludf.DUMMYFUNCTION("""COMPUTED_VALUE"""),244)</f>
        <v>244</v>
      </c>
      <c r="B245" s="44" t="str">
        <f ca="1">IFERROR(__xludf.DUMMYFUNCTION("""COMPUTED_VALUE"""),"みそひと会")</f>
        <v>みそひと会</v>
      </c>
      <c r="C245" s="44" t="str">
        <f ca="1">IFERROR(__xludf.DUMMYFUNCTION("""COMPUTED_VALUE"""),"ミソヒトカイ")</f>
        <v>ミソヒトカイ</v>
      </c>
      <c r="D245" s="44" t="str">
        <f ca="1">IFERROR(__xludf.DUMMYFUNCTION("""COMPUTED_VALUE"""),"福岡県")</f>
        <v>福岡県</v>
      </c>
      <c r="E245" s="46">
        <f ca="1">IFERROR(__xludf.DUMMYFUNCTION("""COMPUTED_VALUE"""),233)</f>
        <v>233</v>
      </c>
      <c r="F245" s="2" t="str">
        <f ca="1">IFERROR(__xludf.DUMMYFUNCTION("""COMPUTED_VALUE"""),"九州")</f>
        <v>九州</v>
      </c>
      <c r="G245" s="44"/>
      <c r="H245" s="44"/>
    </row>
    <row r="246" spans="1:8" ht="15.5">
      <c r="A246" s="2">
        <f ca="1">IFERROR(__xludf.DUMMYFUNCTION("""COMPUTED_VALUE"""),245)</f>
        <v>245</v>
      </c>
      <c r="B246" s="44" t="str">
        <f ca="1">IFERROR(__xludf.DUMMYFUNCTION("""COMPUTED_VALUE"""),"三池よきもの会")</f>
        <v>三池よきもの会</v>
      </c>
      <c r="C246" s="44" t="str">
        <f ca="1">IFERROR(__xludf.DUMMYFUNCTION("""COMPUTED_VALUE"""),"ミイケヨキモノカイ")</f>
        <v>ミイケヨキモノカイ</v>
      </c>
      <c r="D246" s="44" t="str">
        <f ca="1">IFERROR(__xludf.DUMMYFUNCTION("""COMPUTED_VALUE"""),"福岡県")</f>
        <v>福岡県</v>
      </c>
      <c r="E246" s="46">
        <f ca="1">IFERROR(__xludf.DUMMYFUNCTION("""COMPUTED_VALUE"""),234)</f>
        <v>234</v>
      </c>
      <c r="F246" s="2" t="str">
        <f ca="1">IFERROR(__xludf.DUMMYFUNCTION("""COMPUTED_VALUE"""),"九州")</f>
        <v>九州</v>
      </c>
      <c r="G246" s="44"/>
      <c r="H246" s="44"/>
    </row>
    <row r="247" spans="1:8" ht="15.5">
      <c r="A247" s="2">
        <f ca="1">IFERROR(__xludf.DUMMYFUNCTION("""COMPUTED_VALUE"""),246)</f>
        <v>246</v>
      </c>
      <c r="B247" s="44" t="str">
        <f ca="1">IFERROR(__xludf.DUMMYFUNCTION("""COMPUTED_VALUE"""),"久留米かるた会")</f>
        <v>久留米かるた会</v>
      </c>
      <c r="C247" s="44" t="str">
        <f ca="1">IFERROR(__xludf.DUMMYFUNCTION("""COMPUTED_VALUE"""),"クルメカルタカイ")</f>
        <v>クルメカルタカイ</v>
      </c>
      <c r="D247" s="44" t="str">
        <f ca="1">IFERROR(__xludf.DUMMYFUNCTION("""COMPUTED_VALUE"""),"福岡県")</f>
        <v>福岡県</v>
      </c>
      <c r="E247" s="46">
        <f ca="1">IFERROR(__xludf.DUMMYFUNCTION("""COMPUTED_VALUE"""),235)</f>
        <v>235</v>
      </c>
      <c r="F247" s="2" t="str">
        <f ca="1">IFERROR(__xludf.DUMMYFUNCTION("""COMPUTED_VALUE"""),"九州")</f>
        <v>九州</v>
      </c>
      <c r="G247" s="44"/>
      <c r="H247" s="44"/>
    </row>
    <row r="248" spans="1:8" ht="15.5">
      <c r="A248" s="2">
        <f ca="1">IFERROR(__xludf.DUMMYFUNCTION("""COMPUTED_VALUE"""),247)</f>
        <v>247</v>
      </c>
      <c r="B248" s="44" t="str">
        <f ca="1">IFERROR(__xludf.DUMMYFUNCTION("""COMPUTED_VALUE"""),"九州大学かるた会")</f>
        <v>九州大学かるた会</v>
      </c>
      <c r="C248" s="44" t="str">
        <f ca="1">IFERROR(__xludf.DUMMYFUNCTION("""COMPUTED_VALUE"""),"キュウシュウダイガクカルタカイ")</f>
        <v>キュウシュウダイガクカルタカイ</v>
      </c>
      <c r="D248" s="44" t="str">
        <f ca="1">IFERROR(__xludf.DUMMYFUNCTION("""COMPUTED_VALUE"""),"福岡県")</f>
        <v>福岡県</v>
      </c>
      <c r="E248" s="46">
        <f ca="1">IFERROR(__xludf.DUMMYFUNCTION("""COMPUTED_VALUE"""),236)</f>
        <v>236</v>
      </c>
      <c r="F248" s="2" t="str">
        <f ca="1">IFERROR(__xludf.DUMMYFUNCTION("""COMPUTED_VALUE"""),"九州")</f>
        <v>九州</v>
      </c>
      <c r="G248" s="44"/>
      <c r="H248" s="44"/>
    </row>
    <row r="249" spans="1:8" ht="15.5">
      <c r="A249" s="2">
        <f ca="1">IFERROR(__xludf.DUMMYFUNCTION("""COMPUTED_VALUE"""),248)</f>
        <v>248</v>
      </c>
      <c r="B249" s="44" t="str">
        <f ca="1">IFERROR(__xludf.DUMMYFUNCTION("""COMPUTED_VALUE"""),"北九州かるた会")</f>
        <v>北九州かるた会</v>
      </c>
      <c r="C249" s="44" t="str">
        <f ca="1">IFERROR(__xludf.DUMMYFUNCTION("""COMPUTED_VALUE"""),"キタキュウシュウカルタカイ")</f>
        <v>キタキュウシュウカルタカイ</v>
      </c>
      <c r="D249" s="44" t="str">
        <f ca="1">IFERROR(__xludf.DUMMYFUNCTION("""COMPUTED_VALUE"""),"福岡県")</f>
        <v>福岡県</v>
      </c>
      <c r="E249" s="46">
        <f ca="1">IFERROR(__xludf.DUMMYFUNCTION("""COMPUTED_VALUE"""),237)</f>
        <v>237</v>
      </c>
      <c r="F249" s="2" t="str">
        <f ca="1">IFERROR(__xludf.DUMMYFUNCTION("""COMPUTED_VALUE"""),"九州")</f>
        <v>九州</v>
      </c>
      <c r="G249" s="44"/>
      <c r="H249" s="44"/>
    </row>
    <row r="250" spans="1:8" ht="15.5">
      <c r="A250" s="2">
        <f ca="1">IFERROR(__xludf.DUMMYFUNCTION("""COMPUTED_VALUE"""),249)</f>
        <v>249</v>
      </c>
      <c r="B250" s="44" t="str">
        <f ca="1">IFERROR(__xludf.DUMMYFUNCTION("""COMPUTED_VALUE"""),"宇美かるた会")</f>
        <v>宇美かるた会</v>
      </c>
      <c r="C250" s="44" t="str">
        <f ca="1">IFERROR(__xludf.DUMMYFUNCTION("""COMPUTED_VALUE"""),"ウミカルタカイ")</f>
        <v>ウミカルタカイ</v>
      </c>
      <c r="D250" s="44" t="str">
        <f ca="1">IFERROR(__xludf.DUMMYFUNCTION("""COMPUTED_VALUE"""),"福岡県")</f>
        <v>福岡県</v>
      </c>
      <c r="E250" s="46">
        <f ca="1">IFERROR(__xludf.DUMMYFUNCTION("""COMPUTED_VALUE"""),238)</f>
        <v>238</v>
      </c>
      <c r="F250" s="2" t="str">
        <f ca="1">IFERROR(__xludf.DUMMYFUNCTION("""COMPUTED_VALUE"""),"九州")</f>
        <v>九州</v>
      </c>
      <c r="G250" s="44"/>
      <c r="H250" s="44"/>
    </row>
    <row r="251" spans="1:8" ht="15.5">
      <c r="A251" s="2">
        <f ca="1">IFERROR(__xludf.DUMMYFUNCTION("""COMPUTED_VALUE"""),250)</f>
        <v>250</v>
      </c>
      <c r="B251" s="44" t="str">
        <f ca="1">IFERROR(__xludf.DUMMYFUNCTION("""COMPUTED_VALUE"""),"福岡うぐいす会")</f>
        <v>福岡うぐいす会</v>
      </c>
      <c r="C251" s="44" t="str">
        <f ca="1">IFERROR(__xludf.DUMMYFUNCTION("""COMPUTED_VALUE"""),"フクオカウグイスカイ")</f>
        <v>フクオカウグイスカイ</v>
      </c>
      <c r="D251" s="44" t="str">
        <f ca="1">IFERROR(__xludf.DUMMYFUNCTION("""COMPUTED_VALUE"""),"福岡県")</f>
        <v>福岡県</v>
      </c>
      <c r="E251" s="46">
        <f ca="1">IFERROR(__xludf.DUMMYFUNCTION("""COMPUTED_VALUE"""),239)</f>
        <v>239</v>
      </c>
      <c r="F251" s="2" t="str">
        <f ca="1">IFERROR(__xludf.DUMMYFUNCTION("""COMPUTED_VALUE"""),"九州")</f>
        <v>九州</v>
      </c>
      <c r="G251" s="44"/>
      <c r="H251" s="44"/>
    </row>
    <row r="252" spans="1:8" ht="15.5">
      <c r="A252" s="2">
        <f ca="1">IFERROR(__xludf.DUMMYFUNCTION("""COMPUTED_VALUE"""),251)</f>
        <v>251</v>
      </c>
      <c r="B252" s="44" t="str">
        <f ca="1">IFERROR(__xludf.DUMMYFUNCTION("""COMPUTED_VALUE"""),"福岡なのつかるた会")</f>
        <v>福岡なのつかるた会</v>
      </c>
      <c r="C252" s="44" t="str">
        <f ca="1">IFERROR(__xludf.DUMMYFUNCTION("""COMPUTED_VALUE"""),"フクオカナノツカルタカイ")</f>
        <v>フクオカナノツカルタカイ</v>
      </c>
      <c r="D252" s="44" t="str">
        <f ca="1">IFERROR(__xludf.DUMMYFUNCTION("""COMPUTED_VALUE"""),"福岡県")</f>
        <v>福岡県</v>
      </c>
      <c r="E252" s="46">
        <f ca="1">IFERROR(__xludf.DUMMYFUNCTION("""COMPUTED_VALUE"""),240)</f>
        <v>240</v>
      </c>
      <c r="F252" s="2" t="str">
        <f ca="1">IFERROR(__xludf.DUMMYFUNCTION("""COMPUTED_VALUE"""),"九州")</f>
        <v>九州</v>
      </c>
      <c r="G252" s="44"/>
      <c r="H252" s="44"/>
    </row>
    <row r="253" spans="1:8" ht="15.5">
      <c r="A253" s="2">
        <f ca="1">IFERROR(__xludf.DUMMYFUNCTION("""COMPUTED_VALUE"""),252)</f>
        <v>252</v>
      </c>
      <c r="B253" s="44" t="str">
        <f ca="1">IFERROR(__xludf.DUMMYFUNCTION("""COMPUTED_VALUE"""),"福岡ゆうつづ会")</f>
        <v>福岡ゆうつづ会</v>
      </c>
      <c r="C253" s="44" t="str">
        <f ca="1">IFERROR(__xludf.DUMMYFUNCTION("""COMPUTED_VALUE"""),"フクオカユウツヅカイ")</f>
        <v>フクオカユウツヅカイ</v>
      </c>
      <c r="D253" s="44" t="str">
        <f ca="1">IFERROR(__xludf.DUMMYFUNCTION("""COMPUTED_VALUE"""),"福岡県")</f>
        <v>福岡県</v>
      </c>
      <c r="E253" s="46">
        <f ca="1">IFERROR(__xludf.DUMMYFUNCTION("""COMPUTED_VALUE"""),241)</f>
        <v>241</v>
      </c>
      <c r="F253" s="2" t="str">
        <f ca="1">IFERROR(__xludf.DUMMYFUNCTION("""COMPUTED_VALUE"""),"九州")</f>
        <v>九州</v>
      </c>
      <c r="G253" s="44"/>
      <c r="H253" s="44"/>
    </row>
    <row r="254" spans="1:8" ht="15.5">
      <c r="A254" s="2">
        <f ca="1">IFERROR(__xludf.DUMMYFUNCTION("""COMPUTED_VALUE"""),253)</f>
        <v>253</v>
      </c>
      <c r="B254" s="44" t="str">
        <f ca="1">IFERROR(__xludf.DUMMYFUNCTION("""COMPUTED_VALUE"""),"佐賀かるた会")</f>
        <v>佐賀かるた会</v>
      </c>
      <c r="C254" s="44" t="str">
        <f ca="1">IFERROR(__xludf.DUMMYFUNCTION("""COMPUTED_VALUE"""),"サガカルタカイ")</f>
        <v>サガカルタカイ</v>
      </c>
      <c r="D254" s="44" t="str">
        <f ca="1">IFERROR(__xludf.DUMMYFUNCTION("""COMPUTED_VALUE"""),"佐賀県")</f>
        <v>佐賀県</v>
      </c>
      <c r="E254" s="46">
        <f ca="1">IFERROR(__xludf.DUMMYFUNCTION("""COMPUTED_VALUE"""),242)</f>
        <v>242</v>
      </c>
      <c r="F254" s="2" t="str">
        <f ca="1">IFERROR(__xludf.DUMMYFUNCTION("""COMPUTED_VALUE"""),"九州")</f>
        <v>九州</v>
      </c>
      <c r="G254" s="44"/>
      <c r="H254" s="44"/>
    </row>
    <row r="255" spans="1:8" ht="15.5">
      <c r="A255" s="2">
        <f ca="1">IFERROR(__xludf.DUMMYFUNCTION("""COMPUTED_VALUE"""),254)</f>
        <v>254</v>
      </c>
      <c r="B255" s="44" t="str">
        <f ca="1">IFERROR(__xludf.DUMMYFUNCTION("""COMPUTED_VALUE"""),"長崎清水かるた会")</f>
        <v>長崎清水かるた会</v>
      </c>
      <c r="C255" s="44" t="str">
        <f ca="1">IFERROR(__xludf.DUMMYFUNCTION("""COMPUTED_VALUE"""),"ナガサキシミズカルタカイ")</f>
        <v>ナガサキシミズカルタカイ</v>
      </c>
      <c r="D255" s="44" t="str">
        <f ca="1">IFERROR(__xludf.DUMMYFUNCTION("""COMPUTED_VALUE"""),"長崎県")</f>
        <v>長崎県</v>
      </c>
      <c r="E255" s="46">
        <f ca="1">IFERROR(__xludf.DUMMYFUNCTION("""COMPUTED_VALUE"""),243)</f>
        <v>243</v>
      </c>
      <c r="F255" s="2" t="str">
        <f ca="1">IFERROR(__xludf.DUMMYFUNCTION("""COMPUTED_VALUE"""),"九州")</f>
        <v>九州</v>
      </c>
      <c r="G255" s="44"/>
      <c r="H255" s="44"/>
    </row>
    <row r="256" spans="1:8" ht="15.5">
      <c r="A256" s="2">
        <f ca="1">IFERROR(__xludf.DUMMYFUNCTION("""COMPUTED_VALUE"""),255)</f>
        <v>255</v>
      </c>
      <c r="B256" s="44" t="str">
        <f ca="1">IFERROR(__xludf.DUMMYFUNCTION("""COMPUTED_VALUE"""),"大分かるた会")</f>
        <v>大分かるた会</v>
      </c>
      <c r="C256" s="44" t="str">
        <f ca="1">IFERROR(__xludf.DUMMYFUNCTION("""COMPUTED_VALUE"""),"オオイタカルタカイ")</f>
        <v>オオイタカルタカイ</v>
      </c>
      <c r="D256" s="44" t="str">
        <f ca="1">IFERROR(__xludf.DUMMYFUNCTION("""COMPUTED_VALUE"""),"大分県")</f>
        <v>大分県</v>
      </c>
      <c r="E256" s="46">
        <f ca="1">IFERROR(__xludf.DUMMYFUNCTION("""COMPUTED_VALUE"""),244)</f>
        <v>244</v>
      </c>
      <c r="F256" s="2" t="str">
        <f ca="1">IFERROR(__xludf.DUMMYFUNCTION("""COMPUTED_VALUE"""),"九州")</f>
        <v>九州</v>
      </c>
      <c r="G256" s="44"/>
      <c r="H256" s="44"/>
    </row>
    <row r="257" spans="1:8" ht="15.5">
      <c r="A257" s="2">
        <f ca="1">IFERROR(__xludf.DUMMYFUNCTION("""COMPUTED_VALUE"""),256)</f>
        <v>256</v>
      </c>
      <c r="B257" s="44" t="str">
        <f ca="1">IFERROR(__xludf.DUMMYFUNCTION("""COMPUTED_VALUE"""),"有明会")</f>
        <v>有明会</v>
      </c>
      <c r="C257" s="44" t="str">
        <f ca="1">IFERROR(__xludf.DUMMYFUNCTION("""COMPUTED_VALUE"""),"アリアケカイ")</f>
        <v>アリアケカイ</v>
      </c>
      <c r="D257" s="44" t="str">
        <f ca="1">IFERROR(__xludf.DUMMYFUNCTION("""COMPUTED_VALUE"""),"熊本県")</f>
        <v>熊本県</v>
      </c>
      <c r="E257" s="46">
        <f ca="1">IFERROR(__xludf.DUMMYFUNCTION("""COMPUTED_VALUE"""),245)</f>
        <v>245</v>
      </c>
      <c r="F257" s="2" t="str">
        <f ca="1">IFERROR(__xludf.DUMMYFUNCTION("""COMPUTED_VALUE"""),"九州")</f>
        <v>九州</v>
      </c>
      <c r="G257" s="44"/>
      <c r="H257" s="44"/>
    </row>
    <row r="258" spans="1:8" ht="15.5">
      <c r="A258" s="2">
        <f ca="1">IFERROR(__xludf.DUMMYFUNCTION("""COMPUTED_VALUE"""),257)</f>
        <v>257</v>
      </c>
      <c r="B258" s="44" t="str">
        <f ca="1">IFERROR(__xludf.DUMMYFUNCTION("""COMPUTED_VALUE"""),"熊本かるた会")</f>
        <v>熊本かるた会</v>
      </c>
      <c r="C258" s="44" t="str">
        <f ca="1">IFERROR(__xludf.DUMMYFUNCTION("""COMPUTED_VALUE"""),"クマモトカルタカイ")</f>
        <v>クマモトカルタカイ</v>
      </c>
      <c r="D258" s="44" t="str">
        <f ca="1">IFERROR(__xludf.DUMMYFUNCTION("""COMPUTED_VALUE"""),"熊本県")</f>
        <v>熊本県</v>
      </c>
      <c r="E258" s="46">
        <f ca="1">IFERROR(__xludf.DUMMYFUNCTION("""COMPUTED_VALUE"""),246)</f>
        <v>246</v>
      </c>
      <c r="F258" s="2" t="str">
        <f ca="1">IFERROR(__xludf.DUMMYFUNCTION("""COMPUTED_VALUE"""),"九州")</f>
        <v>九州</v>
      </c>
      <c r="G258" s="44"/>
      <c r="H258" s="44"/>
    </row>
    <row r="259" spans="1:8" ht="15.5">
      <c r="A259" s="2">
        <f ca="1">IFERROR(__xludf.DUMMYFUNCTION("""COMPUTED_VALUE"""),258)</f>
        <v>258</v>
      </c>
      <c r="B259" s="44" t="str">
        <f ca="1">IFERROR(__xludf.DUMMYFUNCTION("""COMPUTED_VALUE"""),"宮崎かるた会")</f>
        <v>宮崎かるた会</v>
      </c>
      <c r="C259" s="44" t="str">
        <f ca="1">IFERROR(__xludf.DUMMYFUNCTION("""COMPUTED_VALUE"""),"ミヤザキカルタカイ")</f>
        <v>ミヤザキカルタカイ</v>
      </c>
      <c r="D259" s="44" t="str">
        <f ca="1">IFERROR(__xludf.DUMMYFUNCTION("""COMPUTED_VALUE"""),"宮崎県")</f>
        <v>宮崎県</v>
      </c>
      <c r="E259" s="46">
        <f ca="1">IFERROR(__xludf.DUMMYFUNCTION("""COMPUTED_VALUE"""),247)</f>
        <v>247</v>
      </c>
      <c r="F259" s="2" t="str">
        <f ca="1">IFERROR(__xludf.DUMMYFUNCTION("""COMPUTED_VALUE"""),"九州")</f>
        <v>九州</v>
      </c>
      <c r="G259" s="44"/>
      <c r="H259" s="44"/>
    </row>
    <row r="260" spans="1:8" ht="15.5">
      <c r="A260" s="2">
        <f ca="1">IFERROR(__xludf.DUMMYFUNCTION("""COMPUTED_VALUE"""),259)</f>
        <v>259</v>
      </c>
      <c r="B260" s="44" t="str">
        <f ca="1">IFERROR(__xludf.DUMMYFUNCTION("""COMPUTED_VALUE"""),"鹿児島かるた会")</f>
        <v>鹿児島かるた会</v>
      </c>
      <c r="C260" s="44" t="str">
        <f ca="1">IFERROR(__xludf.DUMMYFUNCTION("""COMPUTED_VALUE"""),"カゴシマカルタカイ")</f>
        <v>カゴシマカルタカイ</v>
      </c>
      <c r="D260" s="44" t="str">
        <f ca="1">IFERROR(__xludf.DUMMYFUNCTION("""COMPUTED_VALUE"""),"鹿児島県")</f>
        <v>鹿児島県</v>
      </c>
      <c r="E260" s="46">
        <f ca="1">IFERROR(__xludf.DUMMYFUNCTION("""COMPUTED_VALUE"""),248)</f>
        <v>248</v>
      </c>
      <c r="F260" s="2" t="str">
        <f ca="1">IFERROR(__xludf.DUMMYFUNCTION("""COMPUTED_VALUE"""),"九州")</f>
        <v>九州</v>
      </c>
      <c r="G260" s="44"/>
      <c r="H260" s="44"/>
    </row>
    <row r="261" spans="1:8" ht="15.5">
      <c r="A261" s="2">
        <f ca="1">IFERROR(__xludf.DUMMYFUNCTION("""COMPUTED_VALUE"""),260)</f>
        <v>260</v>
      </c>
      <c r="B261" s="44" t="str">
        <f ca="1">IFERROR(__xludf.DUMMYFUNCTION("""COMPUTED_VALUE"""),"うちなーかるた会")</f>
        <v>うちなーかるた会</v>
      </c>
      <c r="C261" s="44" t="str">
        <f ca="1">IFERROR(__xludf.DUMMYFUNCTION("""COMPUTED_VALUE"""),"ウチナーカルタカイ")</f>
        <v>ウチナーカルタカイ</v>
      </c>
      <c r="D261" s="44" t="str">
        <f ca="1">IFERROR(__xludf.DUMMYFUNCTION("""COMPUTED_VALUE"""),"沖縄県")</f>
        <v>沖縄県</v>
      </c>
      <c r="E261" s="46">
        <f ca="1">IFERROR(__xludf.DUMMYFUNCTION("""COMPUTED_VALUE"""),249)</f>
        <v>249</v>
      </c>
      <c r="F261" s="2" t="str">
        <f ca="1">IFERROR(__xludf.DUMMYFUNCTION("""COMPUTED_VALUE"""),"九州")</f>
        <v>九州</v>
      </c>
      <c r="G261" s="44"/>
      <c r="H261" s="44"/>
    </row>
    <row r="262" spans="1:8" ht="15.5">
      <c r="A262" s="2">
        <f ca="1">IFERROR(__xludf.DUMMYFUNCTION("""COMPUTED_VALUE"""),261)</f>
        <v>261</v>
      </c>
      <c r="B262" s="44" t="str">
        <f ca="1">IFERROR(__xludf.DUMMYFUNCTION("""COMPUTED_VALUE"""),"首里杜かるた会")</f>
        <v>首里杜かるた会</v>
      </c>
      <c r="C262" s="44" t="str">
        <f ca="1">IFERROR(__xludf.DUMMYFUNCTION("""COMPUTED_VALUE"""),"シュリモリカルタカイ")</f>
        <v>シュリモリカルタカイ</v>
      </c>
      <c r="D262" s="44" t="str">
        <f ca="1">IFERROR(__xludf.DUMMYFUNCTION("""COMPUTED_VALUE"""),"沖縄県")</f>
        <v>沖縄県</v>
      </c>
      <c r="E262" s="46">
        <f ca="1">IFERROR(__xludf.DUMMYFUNCTION("""COMPUTED_VALUE"""),250)</f>
        <v>250</v>
      </c>
      <c r="F262" s="2" t="str">
        <f ca="1">IFERROR(__xludf.DUMMYFUNCTION("""COMPUTED_VALUE"""),"九州")</f>
        <v>九州</v>
      </c>
      <c r="G262" s="44"/>
      <c r="H262" s="44"/>
    </row>
    <row r="263" spans="1:8" ht="15.5">
      <c r="A263" s="2">
        <f ca="1">IFERROR(__xludf.DUMMYFUNCTION("""COMPUTED_VALUE"""),262)</f>
        <v>262</v>
      </c>
      <c r="B263" s="44" t="str">
        <f ca="1">IFERROR(__xludf.DUMMYFUNCTION("""COMPUTED_VALUE"""),"ニューヨークかるた会")</f>
        <v>ニューヨークかるた会</v>
      </c>
      <c r="C263" s="44" t="str">
        <f ca="1">IFERROR(__xludf.DUMMYFUNCTION("""COMPUTED_VALUE"""),"ニューヨークカルタカイ")</f>
        <v>ニューヨークカルタカイ</v>
      </c>
      <c r="D263" s="44" t="str">
        <f ca="1">IFERROR(__xludf.DUMMYFUNCTION("""COMPUTED_VALUE"""),"アメリカ")</f>
        <v>アメリカ</v>
      </c>
      <c r="E263" s="46">
        <f ca="1">IFERROR(__xludf.DUMMYFUNCTION("""COMPUTED_VALUE"""),251)</f>
        <v>251</v>
      </c>
      <c r="F263" s="2" t="str">
        <f ca="1">IFERROR(__xludf.DUMMYFUNCTION("""COMPUTED_VALUE"""),"海外・その他")</f>
        <v>海外・その他</v>
      </c>
      <c r="G263" s="44"/>
      <c r="H263" s="44"/>
    </row>
    <row r="264" spans="1:8" ht="15.5">
      <c r="A264" s="2">
        <f ca="1">IFERROR(__xludf.DUMMYFUNCTION("""COMPUTED_VALUE"""),263)</f>
        <v>263</v>
      </c>
      <c r="B264" s="44" t="str">
        <f ca="1">IFERROR(__xludf.DUMMYFUNCTION("""COMPUTED_VALUE"""),"ボストンなかまろ会")</f>
        <v>ボストンなかまろ会</v>
      </c>
      <c r="C264" s="44" t="str">
        <f ca="1">IFERROR(__xludf.DUMMYFUNCTION("""COMPUTED_VALUE"""),"ボストンナカマロカイ")</f>
        <v>ボストンナカマロカイ</v>
      </c>
      <c r="D264" s="44" t="str">
        <f ca="1">IFERROR(__xludf.DUMMYFUNCTION("""COMPUTED_VALUE"""),"アメリカ")</f>
        <v>アメリカ</v>
      </c>
      <c r="E264" s="46">
        <f ca="1">IFERROR(__xludf.DUMMYFUNCTION("""COMPUTED_VALUE"""),252)</f>
        <v>252</v>
      </c>
      <c r="F264" s="2" t="str">
        <f ca="1">IFERROR(__xludf.DUMMYFUNCTION("""COMPUTED_VALUE"""),"海外・その他")</f>
        <v>海外・その他</v>
      </c>
      <c r="G264" s="44"/>
      <c r="H264" s="44"/>
    </row>
    <row r="265" spans="1:8" ht="15.5">
      <c r="A265" s="2">
        <f ca="1">IFERROR(__xludf.DUMMYFUNCTION("""COMPUTED_VALUE"""),264)</f>
        <v>264</v>
      </c>
      <c r="B265" s="44" t="str">
        <f ca="1">IFERROR(__xludf.DUMMYFUNCTION("""COMPUTED_VALUE"""),"ワシントンDCいにしへ会")</f>
        <v>ワシントンDCいにしへ会</v>
      </c>
      <c r="C265" s="44" t="str">
        <f ca="1">IFERROR(__xludf.DUMMYFUNCTION("""COMPUTED_VALUE"""),"ワシントンディーシーイニシエカイ")</f>
        <v>ワシントンディーシーイニシエカイ</v>
      </c>
      <c r="D265" s="44" t="str">
        <f ca="1">IFERROR(__xludf.DUMMYFUNCTION("""COMPUTED_VALUE"""),"アメリカ")</f>
        <v>アメリカ</v>
      </c>
      <c r="E265" s="46">
        <f ca="1">IFERROR(__xludf.DUMMYFUNCTION("""COMPUTED_VALUE"""),253)</f>
        <v>253</v>
      </c>
      <c r="F265" s="2" t="str">
        <f ca="1">IFERROR(__xludf.DUMMYFUNCTION("""COMPUTED_VALUE"""),"海外・その他")</f>
        <v>海外・その他</v>
      </c>
      <c r="G265" s="44"/>
      <c r="H265" s="44"/>
    </row>
    <row r="266" spans="1:8" ht="15.5">
      <c r="A266" s="2">
        <f ca="1">IFERROR(__xludf.DUMMYFUNCTION("""COMPUTED_VALUE"""),265)</f>
        <v>265</v>
      </c>
      <c r="B266" s="44" t="str">
        <f ca="1">IFERROR(__xludf.DUMMYFUNCTION("""COMPUTED_VALUE"""),"クルンテープかるた会")</f>
        <v>クルンテープかるた会</v>
      </c>
      <c r="C266" s="44" t="str">
        <f ca="1">IFERROR(__xludf.DUMMYFUNCTION("""COMPUTED_VALUE"""),"クルンテープカルタカイ")</f>
        <v>クルンテープカルタカイ</v>
      </c>
      <c r="D266" s="44" t="str">
        <f ca="1">IFERROR(__xludf.DUMMYFUNCTION("""COMPUTED_VALUE"""),"タイ")</f>
        <v>タイ</v>
      </c>
      <c r="E266" s="46">
        <f ca="1">IFERROR(__xludf.DUMMYFUNCTION("""COMPUTED_VALUE"""),254)</f>
        <v>254</v>
      </c>
      <c r="F266" s="2" t="str">
        <f ca="1">IFERROR(__xludf.DUMMYFUNCTION("""COMPUTED_VALUE"""),"海外・その他")</f>
        <v>海外・その他</v>
      </c>
      <c r="G266" s="44"/>
      <c r="H266" s="44"/>
    </row>
    <row r="267" spans="1:8" ht="15.5">
      <c r="A267" s="2">
        <f ca="1">IFERROR(__xludf.DUMMYFUNCTION("""COMPUTED_VALUE"""),266)</f>
        <v>266</v>
      </c>
      <c r="B267" s="44" t="str">
        <f ca="1">IFERROR(__xludf.DUMMYFUNCTION("""COMPUTED_VALUE"""),"星国沖の石かるた会")</f>
        <v>星国沖の石かるた会</v>
      </c>
      <c r="C267" s="44" t="str">
        <f ca="1">IFERROR(__xludf.DUMMYFUNCTION("""COMPUTED_VALUE"""),"ホシノクニオキノイシカルタカイ")</f>
        <v>ホシノクニオキノイシカルタカイ</v>
      </c>
      <c r="D267" s="44" t="str">
        <f ca="1">IFERROR(__xludf.DUMMYFUNCTION("""COMPUTED_VALUE"""),"シンガポール")</f>
        <v>シンガポール</v>
      </c>
      <c r="E267" s="46">
        <f ca="1">IFERROR(__xludf.DUMMYFUNCTION("""COMPUTED_VALUE"""),255)</f>
        <v>255</v>
      </c>
      <c r="F267" s="2" t="str">
        <f ca="1">IFERROR(__xludf.DUMMYFUNCTION("""COMPUTED_VALUE"""),"海外・その他")</f>
        <v>海外・その他</v>
      </c>
      <c r="G267" s="44"/>
      <c r="H267" s="44"/>
    </row>
    <row r="268" spans="1:8" ht="15.5">
      <c r="A268" s="2">
        <f ca="1">IFERROR(__xludf.DUMMYFUNCTION("""COMPUTED_VALUE"""),267)</f>
        <v>267</v>
      </c>
      <c r="B268" s="44" t="str">
        <f ca="1">IFERROR(__xludf.DUMMYFUNCTION("""COMPUTED_VALUE"""),"上海たきがわ会")</f>
        <v>上海たきがわ会</v>
      </c>
      <c r="C268" s="44" t="str">
        <f ca="1">IFERROR(__xludf.DUMMYFUNCTION("""COMPUTED_VALUE"""),"シャンハイタキガワカイ")</f>
        <v>シャンハイタキガワカイ</v>
      </c>
      <c r="D268" s="44" t="str">
        <f ca="1">IFERROR(__xludf.DUMMYFUNCTION("""COMPUTED_VALUE"""),"中国")</f>
        <v>中国</v>
      </c>
      <c r="E268" s="46">
        <f ca="1">IFERROR(__xludf.DUMMYFUNCTION("""COMPUTED_VALUE"""),256)</f>
        <v>256</v>
      </c>
      <c r="F268" s="2" t="str">
        <f ca="1">IFERROR(__xludf.DUMMYFUNCTION("""COMPUTED_VALUE"""),"海外・その他")</f>
        <v>海外・その他</v>
      </c>
      <c r="G268" s="44"/>
      <c r="H268" s="44"/>
    </row>
    <row r="269" spans="1:8" ht="15.5">
      <c r="A269" s="2">
        <f ca="1">IFERROR(__xludf.DUMMYFUNCTION("""COMPUTED_VALUE"""),268)</f>
        <v>268</v>
      </c>
      <c r="B269" s="44" t="str">
        <f ca="1">IFERROR(__xludf.DUMMYFUNCTION("""COMPUTED_VALUE"""),"サンパウロめぐりあひ会")</f>
        <v>サンパウロめぐりあひ会</v>
      </c>
      <c r="C269" s="44" t="str">
        <f ca="1">IFERROR(__xludf.DUMMYFUNCTION("""COMPUTED_VALUE"""),"サンパウロメグリアヒカイ")</f>
        <v>サンパウロメグリアヒカイ</v>
      </c>
      <c r="D269" s="44" t="str">
        <f ca="1">IFERROR(__xludf.DUMMYFUNCTION("""COMPUTED_VALUE"""),"ブラジル")</f>
        <v>ブラジル</v>
      </c>
      <c r="E269" s="46">
        <f ca="1">IFERROR(__xludf.DUMMYFUNCTION("""COMPUTED_VALUE"""),257)</f>
        <v>257</v>
      </c>
      <c r="F269" s="2" t="str">
        <f ca="1">IFERROR(__xludf.DUMMYFUNCTION("""COMPUTED_VALUE"""),"海外・その他")</f>
        <v>海外・その他</v>
      </c>
      <c r="G269" s="44"/>
      <c r="H269" s="44"/>
    </row>
    <row r="270" spans="1:8" ht="15.5">
      <c r="A270" s="2">
        <f ca="1">IFERROR(__xludf.DUMMYFUNCTION("""COMPUTED_VALUE"""),269)</f>
        <v>269</v>
      </c>
      <c r="B270" s="44" t="str">
        <f ca="1">IFERROR(__xludf.DUMMYFUNCTION("""COMPUTED_VALUE"""),"かるたフランス")</f>
        <v>かるたフランス</v>
      </c>
      <c r="C270" s="44" t="str">
        <f ca="1">IFERROR(__xludf.DUMMYFUNCTION("""COMPUTED_VALUE"""),"カルタフランス")</f>
        <v>カルタフランス</v>
      </c>
      <c r="D270" s="44" t="str">
        <f ca="1">IFERROR(__xludf.DUMMYFUNCTION("""COMPUTED_VALUE"""),"フランス")</f>
        <v>フランス</v>
      </c>
      <c r="E270" s="46">
        <f ca="1">IFERROR(__xludf.DUMMYFUNCTION("""COMPUTED_VALUE"""),258)</f>
        <v>258</v>
      </c>
      <c r="F270" s="2" t="str">
        <f ca="1">IFERROR(__xludf.DUMMYFUNCTION("""COMPUTED_VALUE"""),"海外・その他")</f>
        <v>海外・その他</v>
      </c>
      <c r="G270" s="44"/>
      <c r="H270" s="44"/>
    </row>
    <row r="271" spans="1:8" ht="15.5">
      <c r="A271" s="2">
        <f ca="1">IFERROR(__xludf.DUMMYFUNCTION("""COMPUTED_VALUE"""),270)</f>
        <v>270</v>
      </c>
      <c r="B271" s="44" t="str">
        <f ca="1">IFERROR(__xludf.DUMMYFUNCTION("""COMPUTED_VALUE"""),"台湾かるた会")</f>
        <v>台湾かるた会</v>
      </c>
      <c r="C271" s="44" t="str">
        <f ca="1">IFERROR(__xludf.DUMMYFUNCTION("""COMPUTED_VALUE"""),"タイワンカルタカイ")</f>
        <v>タイワンカルタカイ</v>
      </c>
      <c r="D271" s="44" t="str">
        <f ca="1">IFERROR(__xludf.DUMMYFUNCTION("""COMPUTED_VALUE"""),"台湾")</f>
        <v>台湾</v>
      </c>
      <c r="E271" s="46">
        <f ca="1">IFERROR(__xludf.DUMMYFUNCTION("""COMPUTED_VALUE"""),259)</f>
        <v>259</v>
      </c>
      <c r="F271" s="2" t="str">
        <f ca="1">IFERROR(__xludf.DUMMYFUNCTION("""COMPUTED_VALUE"""),"海外・その他")</f>
        <v>海外・その他</v>
      </c>
      <c r="G271" s="44"/>
      <c r="H271" s="44"/>
    </row>
    <row r="272" spans="1:8" ht="15.5">
      <c r="A272" s="2">
        <f ca="1">IFERROR(__xludf.DUMMYFUNCTION("""COMPUTED_VALUE"""),271)</f>
        <v>271</v>
      </c>
      <c r="B272" s="44" t="str">
        <f ca="1">IFERROR(__xludf.DUMMYFUNCTION("""COMPUTED_VALUE"""),"全国大学かるた連盟")</f>
        <v>全国大学かるた連盟</v>
      </c>
      <c r="C272" s="44" t="str">
        <f ca="1">IFERROR(__xludf.DUMMYFUNCTION("""COMPUTED_VALUE"""),"ゼンコクダイガクカルタレンメイ")</f>
        <v>ゼンコクダイガクカルタレンメイ</v>
      </c>
      <c r="D272" s="44" t="str">
        <f ca="1">IFERROR(__xludf.DUMMYFUNCTION("""COMPUTED_VALUE"""),"その他")</f>
        <v>その他</v>
      </c>
      <c r="E272" s="46">
        <f ca="1">IFERROR(__xludf.DUMMYFUNCTION("""COMPUTED_VALUE"""),260)</f>
        <v>260</v>
      </c>
      <c r="F272" s="2" t="str">
        <f ca="1">IFERROR(__xludf.DUMMYFUNCTION("""COMPUTED_VALUE"""),"海外・その他")</f>
        <v>海外・その他</v>
      </c>
      <c r="G272" s="44"/>
      <c r="H272" s="44"/>
    </row>
    <row r="273" spans="1:8" ht="15.5">
      <c r="A273" s="2">
        <f ca="1">IFERROR(__xludf.DUMMYFUNCTION("""COMPUTED_VALUE"""),272)</f>
        <v>272</v>
      </c>
      <c r="B273" s="44" t="str">
        <f ca="1">IFERROR(__xludf.DUMMYFUNCTION("""COMPUTED_VALUE"""),"関西地区大学かるた連盟")</f>
        <v>関西地区大学かるた連盟</v>
      </c>
      <c r="C273" s="44" t="str">
        <f ca="1">IFERROR(__xludf.DUMMYFUNCTION("""COMPUTED_VALUE"""),"カンサイチクダイガクカルタレンメイ")</f>
        <v>カンサイチクダイガクカルタレンメイ</v>
      </c>
      <c r="D273" s="44" t="str">
        <f ca="1">IFERROR(__xludf.DUMMYFUNCTION("""COMPUTED_VALUE"""),"その他")</f>
        <v>その他</v>
      </c>
      <c r="E273" s="46">
        <f ca="1">IFERROR(__xludf.DUMMYFUNCTION("""COMPUTED_VALUE"""),261)</f>
        <v>261</v>
      </c>
      <c r="F273" s="2" t="str">
        <f ca="1">IFERROR(__xludf.DUMMYFUNCTION("""COMPUTED_VALUE"""),"海外・その他")</f>
        <v>海外・その他</v>
      </c>
      <c r="G273" s="44"/>
      <c r="H273" s="44"/>
    </row>
    <row r="274" spans="1:8" ht="15.5">
      <c r="A274" s="2">
        <f ca="1">IFERROR(__xludf.DUMMYFUNCTION("""COMPUTED_VALUE"""),273)</f>
        <v>273</v>
      </c>
      <c r="B274" s="44" t="str">
        <f ca="1">IFERROR(__xludf.DUMMYFUNCTION("""COMPUTED_VALUE"""),"カイロかるた会")</f>
        <v>カイロかるた会</v>
      </c>
      <c r="C274" s="44" t="str">
        <f ca="1">IFERROR(__xludf.DUMMYFUNCTION("""COMPUTED_VALUE"""),"カイロカルタカイ")</f>
        <v>カイロカルタカイ</v>
      </c>
      <c r="D274" s="44" t="str">
        <f ca="1">IFERROR(__xludf.DUMMYFUNCTION("""COMPUTED_VALUE"""),"エジプト")</f>
        <v>エジプト</v>
      </c>
      <c r="E274" s="46">
        <f ca="1">IFERROR(__xludf.DUMMYFUNCTION("""COMPUTED_VALUE"""),262)</f>
        <v>262</v>
      </c>
      <c r="F274" s="2" t="str">
        <f ca="1">IFERROR(__xludf.DUMMYFUNCTION("""COMPUTED_VALUE"""),"海外・その他")</f>
        <v>海外・その他</v>
      </c>
      <c r="G274" s="44"/>
      <c r="H274" s="44"/>
    </row>
    <row r="275" spans="1:8" ht="15.5">
      <c r="A275" s="2">
        <f ca="1">IFERROR(__xludf.DUMMYFUNCTION("""COMPUTED_VALUE"""),274)</f>
        <v>274</v>
      </c>
      <c r="B275" s="44" t="str">
        <f ca="1">IFERROR(__xludf.DUMMYFUNCTION("""COMPUTED_VALUE"""),"モスクワかるた会")</f>
        <v>モスクワかるた会</v>
      </c>
      <c r="C275" s="44" t="str">
        <f ca="1">IFERROR(__xludf.DUMMYFUNCTION("""COMPUTED_VALUE"""),"モスクワカルタカイ")</f>
        <v>モスクワカルタカイ</v>
      </c>
      <c r="D275" s="44" t="str">
        <f ca="1">IFERROR(__xludf.DUMMYFUNCTION("""COMPUTED_VALUE"""),"ロシア")</f>
        <v>ロシア</v>
      </c>
      <c r="E275" s="46">
        <f ca="1">IFERROR(__xludf.DUMMYFUNCTION("""COMPUTED_VALUE"""),263)</f>
        <v>263</v>
      </c>
      <c r="F275" s="2" t="str">
        <f ca="1">IFERROR(__xludf.DUMMYFUNCTION("""COMPUTED_VALUE"""),"海外・その他")</f>
        <v>海外・その他</v>
      </c>
      <c r="G275" s="44"/>
      <c r="H275" s="44"/>
    </row>
    <row r="276" spans="1:8" ht="15.5">
      <c r="A276" s="2"/>
      <c r="B276" s="44"/>
      <c r="C276" s="44"/>
      <c r="D276" s="44"/>
      <c r="E276" s="46"/>
      <c r="F276" s="2"/>
      <c r="G276" s="44"/>
      <c r="H276" s="44"/>
    </row>
    <row r="277" spans="1:8" ht="15.5">
      <c r="A277" s="2"/>
      <c r="B277" s="44"/>
      <c r="C277" s="44"/>
      <c r="D277" s="44"/>
      <c r="E277" s="46"/>
      <c r="F277" s="2"/>
      <c r="G277" s="44"/>
      <c r="H277" s="44"/>
    </row>
    <row r="278" spans="1:8" ht="15.5">
      <c r="A278" s="2"/>
      <c r="B278" s="44"/>
      <c r="C278" s="44"/>
      <c r="D278" s="44"/>
      <c r="E278" s="46"/>
      <c r="F278" s="2"/>
      <c r="G278" s="44"/>
      <c r="H278" s="44"/>
    </row>
    <row r="279" spans="1:8" ht="15.5">
      <c r="A279" s="2"/>
      <c r="B279" s="44"/>
      <c r="C279" s="44"/>
      <c r="D279" s="44"/>
      <c r="E279" s="46"/>
      <c r="F279" s="2"/>
      <c r="G279" s="44"/>
      <c r="H279" s="44"/>
    </row>
    <row r="280" spans="1:8" ht="15.5">
      <c r="B280" s="44"/>
      <c r="C280" s="44"/>
      <c r="D280" s="44"/>
      <c r="E280" s="46"/>
      <c r="F280" s="2"/>
      <c r="G280" s="44"/>
      <c r="H280" s="44"/>
    </row>
    <row r="281" spans="1:8" ht="15.5">
      <c r="B281" s="44"/>
      <c r="C281" s="44"/>
      <c r="D281" s="44"/>
      <c r="E281" s="46"/>
      <c r="F281" s="2"/>
      <c r="G281" s="44"/>
      <c r="H281" s="44"/>
    </row>
    <row r="282" spans="1:8" ht="15.5">
      <c r="B282" s="44"/>
      <c r="C282" s="44"/>
      <c r="D282" s="44"/>
      <c r="E282" s="46"/>
      <c r="F282" s="2"/>
      <c r="G282" s="44"/>
      <c r="H282" s="44"/>
    </row>
    <row r="283" spans="1:8" ht="15.5">
      <c r="B283" s="44"/>
      <c r="C283" s="44"/>
      <c r="D283" s="44"/>
      <c r="E283" s="46"/>
      <c r="F283" s="2"/>
      <c r="G283" s="44"/>
      <c r="H283" s="44"/>
    </row>
    <row r="284" spans="1:8" ht="15.5">
      <c r="B284" s="44"/>
      <c r="C284" s="44"/>
      <c r="D284" s="44"/>
      <c r="E284" s="46"/>
      <c r="F284" s="2"/>
      <c r="G284" s="44"/>
      <c r="H284" s="44"/>
    </row>
    <row r="285" spans="1:8" ht="15.5">
      <c r="B285" s="44"/>
      <c r="C285" s="44"/>
      <c r="D285" s="44"/>
      <c r="E285" s="46"/>
      <c r="F285" s="2"/>
      <c r="G285" s="44"/>
      <c r="H285" s="44"/>
    </row>
    <row r="286" spans="1:8" ht="15.5">
      <c r="B286" s="44"/>
      <c r="C286" s="44"/>
      <c r="D286" s="44"/>
      <c r="E286" s="46"/>
      <c r="F286" s="2"/>
      <c r="G286" s="44"/>
      <c r="H286" s="44"/>
    </row>
    <row r="287" spans="1:8" ht="15.5">
      <c r="B287" s="44"/>
      <c r="C287" s="44"/>
      <c r="D287" s="44"/>
      <c r="E287" s="46"/>
      <c r="G287" s="44"/>
      <c r="H287" s="44"/>
    </row>
    <row r="288" spans="1:8" ht="15.5">
      <c r="B288" s="44"/>
      <c r="C288" s="44"/>
      <c r="D288" s="44"/>
      <c r="E288" s="46"/>
      <c r="G288" s="44"/>
      <c r="H288" s="44"/>
    </row>
    <row r="289" spans="2:8" ht="15.5">
      <c r="B289" s="44"/>
      <c r="C289" s="44"/>
      <c r="D289" s="44"/>
      <c r="E289" s="46"/>
      <c r="G289" s="44"/>
      <c r="H289" s="44"/>
    </row>
    <row r="290" spans="2:8" ht="15.5">
      <c r="B290" s="44"/>
      <c r="C290" s="44"/>
      <c r="D290" s="44"/>
      <c r="E290" s="46"/>
      <c r="G290" s="44"/>
      <c r="H290" s="44"/>
    </row>
    <row r="291" spans="2:8" ht="15.5">
      <c r="B291" s="44"/>
      <c r="C291" s="44"/>
      <c r="D291" s="44"/>
      <c r="E291" s="46"/>
      <c r="G291" s="44"/>
      <c r="H291" s="44"/>
    </row>
    <row r="292" spans="2:8" ht="15.5">
      <c r="B292" s="44"/>
      <c r="C292" s="44"/>
      <c r="D292" s="44"/>
      <c r="E292" s="46"/>
      <c r="G292" s="44"/>
      <c r="H292" s="44"/>
    </row>
    <row r="293" spans="2:8" ht="15.5">
      <c r="B293" s="44"/>
      <c r="C293" s="44"/>
      <c r="D293" s="44"/>
      <c r="E293" s="46"/>
      <c r="G293" s="44"/>
      <c r="H293" s="44"/>
    </row>
    <row r="294" spans="2:8" ht="15.5">
      <c r="B294" s="44"/>
      <c r="C294" s="44"/>
      <c r="D294" s="44"/>
      <c r="E294" s="46"/>
      <c r="G294" s="44"/>
      <c r="H294" s="44"/>
    </row>
    <row r="295" spans="2:8" ht="15.5">
      <c r="B295" s="44"/>
      <c r="C295" s="44"/>
      <c r="D295" s="44"/>
      <c r="E295" s="46"/>
      <c r="G295" s="44"/>
      <c r="H295" s="44"/>
    </row>
    <row r="296" spans="2:8" ht="15.5">
      <c r="B296" s="44"/>
      <c r="C296" s="44"/>
      <c r="D296" s="44"/>
      <c r="E296" s="46"/>
      <c r="G296" s="44"/>
      <c r="H296" s="44"/>
    </row>
    <row r="297" spans="2:8" ht="15.5">
      <c r="B297" s="44"/>
      <c r="C297" s="44"/>
      <c r="D297" s="44"/>
      <c r="E297" s="46"/>
      <c r="G297" s="44"/>
      <c r="H297" s="44"/>
    </row>
    <row r="298" spans="2:8" ht="15.5">
      <c r="B298" s="44"/>
      <c r="C298" s="44"/>
      <c r="D298" s="44"/>
      <c r="E298" s="46"/>
      <c r="G298" s="44"/>
      <c r="H298" s="44"/>
    </row>
    <row r="299" spans="2:8" ht="15.5">
      <c r="B299" s="44"/>
      <c r="C299" s="44"/>
      <c r="D299" s="44"/>
      <c r="E299" s="46"/>
      <c r="G299" s="44"/>
      <c r="H299" s="44"/>
    </row>
    <row r="300" spans="2:8" ht="15.5">
      <c r="B300" s="44"/>
      <c r="C300" s="44"/>
      <c r="D300" s="44"/>
      <c r="E300" s="46"/>
      <c r="G300" s="44"/>
      <c r="H300" s="44"/>
    </row>
    <row r="301" spans="2:8" ht="15.5">
      <c r="B301" s="44"/>
      <c r="C301" s="44"/>
      <c r="D301" s="44"/>
      <c r="E301" s="46"/>
      <c r="G301" s="44"/>
      <c r="H301" s="44"/>
    </row>
    <row r="302" spans="2:8" ht="15.5">
      <c r="B302" s="44"/>
      <c r="C302" s="44"/>
      <c r="D302" s="44"/>
      <c r="E302" s="46"/>
      <c r="G302" s="44"/>
      <c r="H302" s="44"/>
    </row>
    <row r="303" spans="2:8" ht="15.5">
      <c r="B303" s="44"/>
      <c r="C303" s="44"/>
      <c r="D303" s="44"/>
      <c r="E303" s="46"/>
      <c r="G303" s="44"/>
      <c r="H303" s="44"/>
    </row>
    <row r="304" spans="2:8" ht="15.5">
      <c r="B304" s="44"/>
      <c r="C304" s="44"/>
      <c r="D304" s="44"/>
      <c r="E304" s="46"/>
      <c r="G304" s="44"/>
      <c r="H304" s="44"/>
    </row>
    <row r="305" spans="2:8" ht="15.5">
      <c r="B305" s="44"/>
      <c r="C305" s="44"/>
      <c r="D305" s="44"/>
      <c r="E305" s="46"/>
      <c r="G305" s="44"/>
      <c r="H305" s="44"/>
    </row>
    <row r="306" spans="2:8" ht="15.5">
      <c r="B306" s="44"/>
      <c r="C306" s="44"/>
      <c r="D306" s="44"/>
      <c r="E306" s="46"/>
      <c r="G306" s="44"/>
      <c r="H306" s="44"/>
    </row>
    <row r="307" spans="2:8" ht="15.5">
      <c r="B307" s="44"/>
      <c r="C307" s="44"/>
      <c r="D307" s="44"/>
      <c r="E307" s="46"/>
      <c r="G307" s="44"/>
      <c r="H307" s="44"/>
    </row>
    <row r="308" spans="2:8" ht="15.5">
      <c r="B308" s="44"/>
      <c r="C308" s="44"/>
      <c r="D308" s="44"/>
      <c r="E308" s="46"/>
      <c r="G308" s="44"/>
      <c r="H308" s="44"/>
    </row>
    <row r="309" spans="2:8" ht="15.5">
      <c r="B309" s="44"/>
      <c r="C309" s="44"/>
      <c r="D309" s="44"/>
      <c r="E309" s="46"/>
      <c r="G309" s="44"/>
      <c r="H309" s="44"/>
    </row>
    <row r="310" spans="2:8" ht="15.5">
      <c r="B310" s="44"/>
      <c r="C310" s="44"/>
      <c r="D310" s="44"/>
      <c r="E310" s="46"/>
      <c r="G310" s="44"/>
      <c r="H310" s="44"/>
    </row>
    <row r="311" spans="2:8" ht="15.5">
      <c r="B311" s="44"/>
      <c r="C311" s="44"/>
      <c r="D311" s="44"/>
      <c r="E311" s="46"/>
      <c r="G311" s="44"/>
      <c r="H311" s="44"/>
    </row>
    <row r="312" spans="2:8" ht="15.5">
      <c r="B312" s="44"/>
      <c r="C312" s="44"/>
      <c r="D312" s="44"/>
      <c r="E312" s="46"/>
      <c r="G312" s="44"/>
      <c r="H312" s="44"/>
    </row>
    <row r="313" spans="2:8" ht="15.5">
      <c r="B313" s="44"/>
      <c r="C313" s="44"/>
      <c r="D313" s="44"/>
      <c r="E313" s="46"/>
      <c r="G313" s="44"/>
      <c r="H313" s="44"/>
    </row>
    <row r="314" spans="2:8" ht="15.5">
      <c r="B314" s="44"/>
      <c r="C314" s="44"/>
      <c r="D314" s="44"/>
      <c r="E314" s="46"/>
      <c r="G314" s="44"/>
      <c r="H314" s="44"/>
    </row>
    <row r="315" spans="2:8" ht="15.5">
      <c r="B315" s="44"/>
      <c r="C315" s="44"/>
      <c r="D315" s="44"/>
      <c r="E315" s="46"/>
      <c r="G315" s="44"/>
      <c r="H315" s="44"/>
    </row>
    <row r="316" spans="2:8" ht="15.5">
      <c r="B316" s="44"/>
      <c r="C316" s="44"/>
      <c r="D316" s="44"/>
      <c r="E316" s="46"/>
      <c r="G316" s="44"/>
      <c r="H316" s="44"/>
    </row>
    <row r="317" spans="2:8" ht="15.5">
      <c r="B317" s="44"/>
      <c r="C317" s="44"/>
      <c r="D317" s="44"/>
      <c r="E317" s="46"/>
      <c r="G317" s="44"/>
      <c r="H317" s="44"/>
    </row>
    <row r="318" spans="2:8" ht="15.5">
      <c r="B318" s="44"/>
      <c r="C318" s="44"/>
      <c r="D318" s="44"/>
      <c r="E318" s="46"/>
      <c r="G318" s="44"/>
      <c r="H318" s="44"/>
    </row>
    <row r="319" spans="2:8" ht="15.5">
      <c r="B319" s="44"/>
      <c r="C319" s="44"/>
      <c r="D319" s="44"/>
      <c r="E319" s="46"/>
      <c r="G319" s="44"/>
      <c r="H319" s="44"/>
    </row>
    <row r="320" spans="2:8" ht="15.5">
      <c r="B320" s="44"/>
      <c r="C320" s="44"/>
      <c r="D320" s="44"/>
      <c r="E320" s="46"/>
      <c r="G320" s="44"/>
      <c r="H320" s="44"/>
    </row>
    <row r="321" spans="2:8" ht="15.5">
      <c r="B321" s="44"/>
      <c r="C321" s="44"/>
      <c r="D321" s="44"/>
      <c r="E321" s="46"/>
      <c r="G321" s="44"/>
      <c r="H321" s="44"/>
    </row>
    <row r="322" spans="2:8" ht="15.5">
      <c r="B322" s="44"/>
      <c r="C322" s="44"/>
      <c r="D322" s="44"/>
      <c r="E322" s="46"/>
      <c r="G322" s="44"/>
      <c r="H322" s="44"/>
    </row>
    <row r="323" spans="2:8" ht="15.5">
      <c r="B323" s="44"/>
      <c r="C323" s="44"/>
      <c r="D323" s="44"/>
      <c r="E323" s="46"/>
      <c r="G323" s="44"/>
      <c r="H323" s="44"/>
    </row>
    <row r="324" spans="2:8" ht="15.5">
      <c r="B324" s="44"/>
      <c r="C324" s="44"/>
      <c r="D324" s="44"/>
      <c r="E324" s="46"/>
      <c r="G324" s="44"/>
      <c r="H324" s="44"/>
    </row>
    <row r="325" spans="2:8" ht="15.5">
      <c r="B325" s="44"/>
      <c r="C325" s="44"/>
      <c r="D325" s="44"/>
      <c r="E325" s="46"/>
      <c r="G325" s="44"/>
      <c r="H325" s="44"/>
    </row>
    <row r="326" spans="2:8" ht="15.5">
      <c r="B326" s="44"/>
      <c r="C326" s="44"/>
      <c r="D326" s="44"/>
      <c r="E326" s="46"/>
      <c r="G326" s="44"/>
      <c r="H326" s="44"/>
    </row>
    <row r="327" spans="2:8" ht="15.5">
      <c r="B327" s="44"/>
      <c r="C327" s="44"/>
      <c r="D327" s="44"/>
      <c r="E327" s="46"/>
      <c r="G327" s="44"/>
      <c r="H327" s="44"/>
    </row>
    <row r="328" spans="2:8" ht="15.5">
      <c r="B328" s="44"/>
      <c r="C328" s="44"/>
      <c r="D328" s="44"/>
      <c r="E328" s="46"/>
      <c r="G328" s="44"/>
      <c r="H328" s="44"/>
    </row>
    <row r="329" spans="2:8" ht="15.5">
      <c r="B329" s="44"/>
      <c r="C329" s="44"/>
      <c r="D329" s="44"/>
      <c r="E329" s="46"/>
      <c r="G329" s="44"/>
      <c r="H329" s="44"/>
    </row>
    <row r="330" spans="2:8" ht="15.5">
      <c r="B330" s="44"/>
      <c r="C330" s="44"/>
      <c r="D330" s="44"/>
      <c r="E330" s="46"/>
      <c r="G330" s="44"/>
      <c r="H330" s="44"/>
    </row>
    <row r="331" spans="2:8" ht="15.5">
      <c r="B331" s="44"/>
      <c r="C331" s="44"/>
      <c r="D331" s="44"/>
      <c r="E331" s="46"/>
      <c r="G331" s="44"/>
      <c r="H331" s="44"/>
    </row>
    <row r="332" spans="2:8" ht="15.5">
      <c r="B332" s="44"/>
      <c r="C332" s="44"/>
      <c r="D332" s="44"/>
      <c r="E332" s="46"/>
      <c r="G332" s="44"/>
      <c r="H332" s="44"/>
    </row>
    <row r="333" spans="2:8" ht="15.5">
      <c r="B333" s="44"/>
      <c r="C333" s="44"/>
      <c r="D333" s="44"/>
      <c r="E333" s="46"/>
      <c r="G333" s="44"/>
      <c r="H333" s="44"/>
    </row>
    <row r="334" spans="2:8" ht="15.5">
      <c r="B334" s="44"/>
      <c r="C334" s="44"/>
      <c r="D334" s="44"/>
      <c r="E334" s="46"/>
      <c r="G334" s="44"/>
      <c r="H334" s="44"/>
    </row>
    <row r="335" spans="2:8" ht="15.5">
      <c r="B335" s="44"/>
      <c r="C335" s="44"/>
      <c r="D335" s="44"/>
      <c r="E335" s="46"/>
      <c r="G335" s="44"/>
      <c r="H335" s="44"/>
    </row>
    <row r="336" spans="2:8" ht="15.5">
      <c r="B336" s="44"/>
      <c r="C336" s="44"/>
      <c r="D336" s="44"/>
      <c r="E336" s="46"/>
      <c r="G336" s="44"/>
      <c r="H336" s="44"/>
    </row>
    <row r="337" spans="2:8" ht="15.5">
      <c r="B337" s="44"/>
      <c r="C337" s="44"/>
      <c r="D337" s="44"/>
      <c r="E337" s="46"/>
      <c r="G337" s="44"/>
      <c r="H337" s="44"/>
    </row>
    <row r="338" spans="2:8" ht="15.5">
      <c r="B338" s="44"/>
      <c r="C338" s="44"/>
      <c r="D338" s="44"/>
      <c r="E338" s="46"/>
      <c r="G338" s="44"/>
      <c r="H338" s="44"/>
    </row>
    <row r="339" spans="2:8" ht="15.5">
      <c r="B339" s="44"/>
      <c r="C339" s="44"/>
      <c r="D339" s="44"/>
      <c r="E339" s="46"/>
      <c r="G339" s="44"/>
      <c r="H339" s="44"/>
    </row>
    <row r="340" spans="2:8" ht="15.5">
      <c r="B340" s="44"/>
      <c r="C340" s="44"/>
      <c r="D340" s="44"/>
      <c r="E340" s="46"/>
      <c r="G340" s="44"/>
      <c r="H340" s="44"/>
    </row>
    <row r="341" spans="2:8" ht="15.5">
      <c r="B341" s="44"/>
      <c r="C341" s="44"/>
      <c r="D341" s="44"/>
      <c r="E341" s="46"/>
      <c r="G341" s="44"/>
      <c r="H341" s="44"/>
    </row>
    <row r="342" spans="2:8" ht="15.5">
      <c r="B342" s="44"/>
      <c r="C342" s="44"/>
      <c r="D342" s="44"/>
      <c r="E342" s="46"/>
      <c r="G342" s="44"/>
      <c r="H342" s="44"/>
    </row>
    <row r="343" spans="2:8" ht="15.5">
      <c r="B343" s="44"/>
      <c r="C343" s="44"/>
      <c r="D343" s="44"/>
      <c r="E343" s="46"/>
      <c r="G343" s="44"/>
      <c r="H343" s="44"/>
    </row>
    <row r="344" spans="2:8" ht="15.5">
      <c r="B344" s="44"/>
      <c r="C344" s="44"/>
      <c r="D344" s="44"/>
      <c r="E344" s="46"/>
      <c r="G344" s="44"/>
      <c r="H344" s="44"/>
    </row>
    <row r="345" spans="2:8" ht="15.5">
      <c r="B345" s="44"/>
      <c r="C345" s="44"/>
      <c r="D345" s="44"/>
      <c r="E345" s="46"/>
      <c r="G345" s="44"/>
      <c r="H345" s="44"/>
    </row>
    <row r="346" spans="2:8" ht="15.5">
      <c r="B346" s="44"/>
      <c r="C346" s="44"/>
      <c r="D346" s="44"/>
      <c r="E346" s="46"/>
      <c r="G346" s="44"/>
      <c r="H346" s="44"/>
    </row>
    <row r="347" spans="2:8" ht="15.5">
      <c r="B347" s="44"/>
      <c r="C347" s="44"/>
      <c r="D347" s="44"/>
      <c r="E347" s="46"/>
      <c r="G347" s="44"/>
      <c r="H347" s="44"/>
    </row>
    <row r="348" spans="2:8" ht="15.5">
      <c r="B348" s="44"/>
      <c r="C348" s="44"/>
      <c r="D348" s="44"/>
      <c r="E348" s="46"/>
      <c r="G348" s="44"/>
      <c r="H348" s="44"/>
    </row>
    <row r="349" spans="2:8" ht="15.5">
      <c r="B349" s="44"/>
      <c r="C349" s="44"/>
      <c r="D349" s="44"/>
      <c r="E349" s="46"/>
      <c r="G349" s="44"/>
      <c r="H349" s="44"/>
    </row>
    <row r="350" spans="2:8" ht="15.5">
      <c r="B350" s="44"/>
      <c r="C350" s="44"/>
      <c r="D350" s="44"/>
      <c r="E350" s="46"/>
      <c r="G350" s="44"/>
      <c r="H350" s="44"/>
    </row>
    <row r="351" spans="2:8" ht="15.5">
      <c r="B351" s="44"/>
      <c r="C351" s="44"/>
      <c r="D351" s="44"/>
      <c r="E351" s="46"/>
      <c r="G351" s="44"/>
      <c r="H351" s="44"/>
    </row>
    <row r="352" spans="2:8" ht="15.5">
      <c r="B352" s="44"/>
      <c r="C352" s="44"/>
      <c r="D352" s="44"/>
      <c r="E352" s="46"/>
      <c r="G352" s="44"/>
      <c r="H352" s="44"/>
    </row>
    <row r="353" spans="2:8" ht="15.5">
      <c r="B353" s="44"/>
      <c r="C353" s="44"/>
      <c r="D353" s="44"/>
      <c r="E353" s="46"/>
      <c r="G353" s="44"/>
      <c r="H353" s="44"/>
    </row>
    <row r="354" spans="2:8" ht="15.5">
      <c r="B354" s="44"/>
      <c r="C354" s="44"/>
      <c r="D354" s="44"/>
      <c r="E354" s="46"/>
      <c r="G354" s="44"/>
      <c r="H354" s="44"/>
    </row>
    <row r="355" spans="2:8" ht="15.5">
      <c r="B355" s="44"/>
      <c r="C355" s="44"/>
      <c r="D355" s="44"/>
      <c r="E355" s="46"/>
      <c r="G355" s="44"/>
      <c r="H355" s="44"/>
    </row>
    <row r="356" spans="2:8" ht="15.5">
      <c r="B356" s="44"/>
      <c r="C356" s="44"/>
      <c r="D356" s="44"/>
      <c r="E356" s="46"/>
      <c r="G356" s="44"/>
      <c r="H356" s="44"/>
    </row>
    <row r="357" spans="2:8" ht="15.5">
      <c r="B357" s="44"/>
      <c r="C357" s="44"/>
      <c r="D357" s="44"/>
      <c r="E357" s="46"/>
      <c r="G357" s="44"/>
      <c r="H357" s="44"/>
    </row>
    <row r="358" spans="2:8" ht="15.5">
      <c r="B358" s="44"/>
      <c r="C358" s="44"/>
      <c r="D358" s="44"/>
      <c r="E358" s="46"/>
      <c r="G358" s="44"/>
      <c r="H358" s="44"/>
    </row>
    <row r="359" spans="2:8" ht="15.5">
      <c r="B359" s="44"/>
      <c r="C359" s="44"/>
      <c r="D359" s="44"/>
      <c r="E359" s="46"/>
      <c r="G359" s="44"/>
      <c r="H359" s="44"/>
    </row>
    <row r="360" spans="2:8" ht="15.5">
      <c r="B360" s="44"/>
      <c r="C360" s="44"/>
      <c r="D360" s="44"/>
      <c r="E360" s="46"/>
      <c r="G360" s="44"/>
      <c r="H360" s="44"/>
    </row>
    <row r="361" spans="2:8" ht="15.5">
      <c r="B361" s="44"/>
      <c r="C361" s="44"/>
      <c r="D361" s="44"/>
      <c r="E361" s="46"/>
      <c r="G361" s="44"/>
      <c r="H361" s="44"/>
    </row>
    <row r="362" spans="2:8" ht="15.5">
      <c r="B362" s="44"/>
      <c r="C362" s="44"/>
      <c r="D362" s="44"/>
      <c r="E362" s="46"/>
      <c r="G362" s="44"/>
      <c r="H362" s="44"/>
    </row>
    <row r="363" spans="2:8" ht="15.5">
      <c r="B363" s="44"/>
      <c r="C363" s="44"/>
      <c r="D363" s="44"/>
      <c r="E363" s="46"/>
      <c r="G363" s="44"/>
      <c r="H363" s="44"/>
    </row>
    <row r="364" spans="2:8" ht="15.5">
      <c r="B364" s="44"/>
      <c r="C364" s="44"/>
      <c r="D364" s="44"/>
      <c r="E364" s="46"/>
      <c r="G364" s="44"/>
      <c r="H364" s="44"/>
    </row>
    <row r="365" spans="2:8" ht="15.5">
      <c r="B365" s="44"/>
      <c r="C365" s="44"/>
      <c r="D365" s="44"/>
      <c r="E365" s="46"/>
      <c r="G365" s="44"/>
      <c r="H365" s="44"/>
    </row>
    <row r="366" spans="2:8" ht="15.5">
      <c r="B366" s="44"/>
      <c r="C366" s="44"/>
      <c r="D366" s="44"/>
      <c r="E366" s="46"/>
      <c r="G366" s="44"/>
      <c r="H366" s="44"/>
    </row>
    <row r="367" spans="2:8" ht="15.5">
      <c r="B367" s="44"/>
      <c r="C367" s="44"/>
      <c r="D367" s="44"/>
      <c r="E367" s="46"/>
      <c r="G367" s="44"/>
      <c r="H367" s="44"/>
    </row>
    <row r="368" spans="2:8" ht="15.5">
      <c r="B368" s="44"/>
      <c r="C368" s="44"/>
      <c r="D368" s="44"/>
      <c r="E368" s="46"/>
      <c r="G368" s="44"/>
      <c r="H368" s="44"/>
    </row>
    <row r="369" spans="2:8" ht="15.5">
      <c r="B369" s="44"/>
      <c r="C369" s="44"/>
      <c r="D369" s="44"/>
      <c r="E369" s="46"/>
      <c r="G369" s="44"/>
      <c r="H369" s="44"/>
    </row>
    <row r="370" spans="2:8" ht="15.5">
      <c r="B370" s="44"/>
      <c r="C370" s="44"/>
      <c r="D370" s="44"/>
      <c r="E370" s="46"/>
      <c r="G370" s="44"/>
      <c r="H370" s="44"/>
    </row>
    <row r="371" spans="2:8" ht="15.5">
      <c r="B371" s="44"/>
      <c r="C371" s="44"/>
      <c r="D371" s="44"/>
      <c r="E371" s="46"/>
      <c r="G371" s="44"/>
      <c r="H371" s="44"/>
    </row>
    <row r="372" spans="2:8" ht="15.5">
      <c r="B372" s="44"/>
      <c r="C372" s="44"/>
      <c r="D372" s="44"/>
      <c r="E372" s="46"/>
      <c r="G372" s="44"/>
      <c r="H372" s="44"/>
    </row>
    <row r="373" spans="2:8" ht="15.5">
      <c r="B373" s="44"/>
      <c r="C373" s="44"/>
      <c r="D373" s="44"/>
      <c r="E373" s="46"/>
      <c r="G373" s="44"/>
      <c r="H373" s="44"/>
    </row>
    <row r="374" spans="2:8" ht="15.5">
      <c r="B374" s="44"/>
      <c r="C374" s="44"/>
      <c r="D374" s="44"/>
      <c r="E374" s="46"/>
      <c r="G374" s="44"/>
      <c r="H374" s="44"/>
    </row>
    <row r="375" spans="2:8" ht="15.5">
      <c r="B375" s="44"/>
      <c r="C375" s="44"/>
      <c r="D375" s="44"/>
      <c r="E375" s="46"/>
      <c r="G375" s="44"/>
      <c r="H375" s="44"/>
    </row>
    <row r="376" spans="2:8" ht="15.5">
      <c r="B376" s="44"/>
      <c r="C376" s="44"/>
      <c r="D376" s="44"/>
      <c r="E376" s="46"/>
      <c r="G376" s="44"/>
      <c r="H376" s="44"/>
    </row>
    <row r="377" spans="2:8" ht="15.5">
      <c r="B377" s="44"/>
      <c r="C377" s="44"/>
      <c r="D377" s="44"/>
      <c r="E377" s="46"/>
      <c r="G377" s="44"/>
      <c r="H377" s="44"/>
    </row>
    <row r="378" spans="2:8" ht="15.5">
      <c r="B378" s="44"/>
      <c r="C378" s="44"/>
      <c r="D378" s="44"/>
      <c r="E378" s="46"/>
      <c r="G378" s="44"/>
      <c r="H378" s="44"/>
    </row>
    <row r="379" spans="2:8" ht="15.5">
      <c r="B379" s="44"/>
      <c r="C379" s="44"/>
      <c r="D379" s="44"/>
      <c r="E379" s="46"/>
      <c r="G379" s="44"/>
      <c r="H379" s="44"/>
    </row>
    <row r="380" spans="2:8" ht="15.5">
      <c r="B380" s="44"/>
      <c r="C380" s="44"/>
      <c r="D380" s="44"/>
      <c r="E380" s="46"/>
      <c r="G380" s="44"/>
      <c r="H380" s="44"/>
    </row>
    <row r="381" spans="2:8" ht="15.5">
      <c r="B381" s="44"/>
      <c r="C381" s="44"/>
      <c r="D381" s="44"/>
      <c r="E381" s="46"/>
      <c r="G381" s="44"/>
      <c r="H381" s="44"/>
    </row>
    <row r="382" spans="2:8" ht="15.5">
      <c r="B382" s="44"/>
      <c r="C382" s="44"/>
      <c r="D382" s="44"/>
      <c r="E382" s="46"/>
      <c r="G382" s="44"/>
      <c r="H382" s="44"/>
    </row>
    <row r="383" spans="2:8" ht="15.5">
      <c r="B383" s="44"/>
      <c r="C383" s="44"/>
      <c r="D383" s="44"/>
      <c r="E383" s="46"/>
      <c r="G383" s="44"/>
      <c r="H383" s="44"/>
    </row>
    <row r="384" spans="2:8" ht="15.5">
      <c r="B384" s="44"/>
      <c r="C384" s="44"/>
      <c r="D384" s="44"/>
      <c r="E384" s="46"/>
      <c r="G384" s="44"/>
      <c r="H384" s="44"/>
    </row>
    <row r="385" spans="2:8" ht="15.5">
      <c r="B385" s="44"/>
      <c r="C385" s="44"/>
      <c r="D385" s="44"/>
      <c r="E385" s="46"/>
      <c r="G385" s="44"/>
      <c r="H385" s="44"/>
    </row>
    <row r="386" spans="2:8" ht="15.5">
      <c r="B386" s="44"/>
      <c r="C386" s="44"/>
      <c r="D386" s="44"/>
      <c r="E386" s="46"/>
      <c r="G386" s="44"/>
      <c r="H386" s="44"/>
    </row>
    <row r="387" spans="2:8" ht="15.5">
      <c r="B387" s="44"/>
      <c r="C387" s="44"/>
      <c r="D387" s="44"/>
      <c r="E387" s="46"/>
      <c r="G387" s="44"/>
      <c r="H387" s="44"/>
    </row>
    <row r="388" spans="2:8" ht="15.5">
      <c r="B388" s="44"/>
      <c r="C388" s="44"/>
      <c r="D388" s="44"/>
      <c r="E388" s="46"/>
      <c r="G388" s="44"/>
      <c r="H388" s="44"/>
    </row>
    <row r="389" spans="2:8" ht="15.5">
      <c r="B389" s="44"/>
      <c r="C389" s="44"/>
      <c r="D389" s="44"/>
      <c r="E389" s="46"/>
      <c r="G389" s="44"/>
      <c r="H389" s="44"/>
    </row>
    <row r="390" spans="2:8" ht="15.5">
      <c r="B390" s="44"/>
      <c r="C390" s="44"/>
      <c r="D390" s="44"/>
      <c r="E390" s="46"/>
      <c r="G390" s="44"/>
      <c r="H390" s="44"/>
    </row>
    <row r="391" spans="2:8" ht="15.5">
      <c r="B391" s="44"/>
      <c r="C391" s="44"/>
      <c r="D391" s="44"/>
      <c r="E391" s="46"/>
      <c r="G391" s="44"/>
      <c r="H391" s="44"/>
    </row>
    <row r="392" spans="2:8" ht="15.5">
      <c r="B392" s="44"/>
      <c r="C392" s="44"/>
      <c r="D392" s="44"/>
      <c r="E392" s="46"/>
      <c r="G392" s="44"/>
      <c r="H392" s="44"/>
    </row>
    <row r="393" spans="2:8" ht="15.5">
      <c r="B393" s="44"/>
      <c r="C393" s="44"/>
      <c r="D393" s="44"/>
      <c r="E393" s="46"/>
      <c r="G393" s="44"/>
      <c r="H393" s="44"/>
    </row>
    <row r="394" spans="2:8" ht="15.5">
      <c r="B394" s="44"/>
      <c r="C394" s="44"/>
      <c r="D394" s="44"/>
      <c r="E394" s="46"/>
      <c r="G394" s="44"/>
      <c r="H394" s="44"/>
    </row>
    <row r="395" spans="2:8" ht="15.5">
      <c r="B395" s="44"/>
      <c r="C395" s="44"/>
      <c r="D395" s="44"/>
      <c r="E395" s="46"/>
      <c r="G395" s="44"/>
      <c r="H395" s="44"/>
    </row>
    <row r="396" spans="2:8" ht="15.5">
      <c r="B396" s="44"/>
      <c r="C396" s="44"/>
      <c r="D396" s="44"/>
      <c r="E396" s="46"/>
      <c r="G396" s="44"/>
      <c r="H396" s="44"/>
    </row>
    <row r="397" spans="2:8" ht="15.5">
      <c r="B397" s="44"/>
      <c r="C397" s="44"/>
      <c r="D397" s="44"/>
      <c r="E397" s="46"/>
      <c r="G397" s="44"/>
      <c r="H397" s="44"/>
    </row>
    <row r="398" spans="2:8" ht="15.5">
      <c r="B398" s="44"/>
      <c r="C398" s="44"/>
      <c r="D398" s="44"/>
      <c r="E398" s="46"/>
      <c r="G398" s="44"/>
      <c r="H398" s="44"/>
    </row>
    <row r="399" spans="2:8" ht="15.5">
      <c r="B399" s="44"/>
      <c r="C399" s="44"/>
      <c r="D399" s="44"/>
      <c r="E399" s="46"/>
      <c r="G399" s="44"/>
      <c r="H399" s="44"/>
    </row>
    <row r="400" spans="2:8" ht="15.5">
      <c r="B400" s="44"/>
      <c r="C400" s="44"/>
      <c r="D400" s="44"/>
      <c r="E400" s="46"/>
      <c r="G400" s="44"/>
      <c r="H400" s="44"/>
    </row>
    <row r="401" spans="2:8" ht="15.5">
      <c r="B401" s="44"/>
      <c r="C401" s="44"/>
      <c r="D401" s="44"/>
      <c r="E401" s="46"/>
      <c r="G401" s="44"/>
      <c r="H401" s="44"/>
    </row>
    <row r="402" spans="2:8" ht="15.5">
      <c r="B402" s="44"/>
      <c r="C402" s="44"/>
      <c r="D402" s="44"/>
      <c r="E402" s="46"/>
      <c r="G402" s="44"/>
      <c r="H402" s="44"/>
    </row>
    <row r="403" spans="2:8" ht="15.5">
      <c r="B403" s="44"/>
      <c r="C403" s="44"/>
      <c r="D403" s="44"/>
      <c r="E403" s="46"/>
      <c r="G403" s="44"/>
      <c r="H403" s="44"/>
    </row>
    <row r="404" spans="2:8" ht="15.5">
      <c r="B404" s="44"/>
      <c r="C404" s="44"/>
      <c r="D404" s="44"/>
      <c r="E404" s="46"/>
      <c r="G404" s="44"/>
      <c r="H404" s="44"/>
    </row>
    <row r="405" spans="2:8" ht="15.5">
      <c r="B405" s="44"/>
      <c r="C405" s="44"/>
      <c r="D405" s="44"/>
      <c r="E405" s="46"/>
      <c r="G405" s="44"/>
      <c r="H405" s="44"/>
    </row>
    <row r="406" spans="2:8" ht="15.5">
      <c r="B406" s="44"/>
      <c r="C406" s="44"/>
      <c r="D406" s="44"/>
      <c r="E406" s="46"/>
      <c r="G406" s="44"/>
      <c r="H406" s="44"/>
    </row>
    <row r="407" spans="2:8" ht="15.5">
      <c r="B407" s="44"/>
      <c r="C407" s="44"/>
      <c r="D407" s="44"/>
      <c r="E407" s="46"/>
      <c r="G407" s="44"/>
      <c r="H407" s="44"/>
    </row>
    <row r="408" spans="2:8" ht="15.5">
      <c r="B408" s="44"/>
      <c r="C408" s="44"/>
      <c r="D408" s="44"/>
      <c r="E408" s="46"/>
      <c r="G408" s="44"/>
      <c r="H408" s="44"/>
    </row>
    <row r="409" spans="2:8" ht="15.5">
      <c r="B409" s="44"/>
      <c r="C409" s="44"/>
      <c r="D409" s="44"/>
      <c r="E409" s="46"/>
      <c r="G409" s="44"/>
      <c r="H409" s="44"/>
    </row>
    <row r="410" spans="2:8" ht="15.5">
      <c r="B410" s="44"/>
      <c r="C410" s="44"/>
      <c r="D410" s="44"/>
      <c r="E410" s="46"/>
      <c r="G410" s="44"/>
      <c r="H410" s="44"/>
    </row>
    <row r="411" spans="2:8" ht="15.5">
      <c r="B411" s="44"/>
      <c r="C411" s="44"/>
      <c r="D411" s="44"/>
      <c r="E411" s="46"/>
      <c r="G411" s="44"/>
      <c r="H411" s="44"/>
    </row>
    <row r="412" spans="2:8" ht="15.5">
      <c r="B412" s="44"/>
      <c r="C412" s="44"/>
      <c r="D412" s="44"/>
      <c r="E412" s="46"/>
      <c r="G412" s="44"/>
      <c r="H412" s="44"/>
    </row>
    <row r="413" spans="2:8" ht="15.5">
      <c r="B413" s="44"/>
      <c r="C413" s="44"/>
      <c r="D413" s="44"/>
      <c r="E413" s="46"/>
      <c r="G413" s="44"/>
      <c r="H413" s="44"/>
    </row>
    <row r="414" spans="2:8" ht="15.5">
      <c r="B414" s="44"/>
      <c r="C414" s="44"/>
      <c r="D414" s="44"/>
      <c r="E414" s="46"/>
      <c r="G414" s="44"/>
      <c r="H414" s="44"/>
    </row>
    <row r="415" spans="2:8" ht="15.5">
      <c r="B415" s="44"/>
      <c r="C415" s="44"/>
      <c r="D415" s="44"/>
      <c r="E415" s="46"/>
      <c r="G415" s="44"/>
      <c r="H415" s="44"/>
    </row>
    <row r="416" spans="2:8" ht="15.5">
      <c r="B416" s="44"/>
      <c r="C416" s="44"/>
      <c r="D416" s="44"/>
      <c r="E416" s="46"/>
      <c r="G416" s="44"/>
      <c r="H416" s="44"/>
    </row>
    <row r="417" spans="2:8" ht="15.5">
      <c r="B417" s="44"/>
      <c r="C417" s="44"/>
      <c r="D417" s="44"/>
      <c r="E417" s="46"/>
      <c r="G417" s="44"/>
      <c r="H417" s="44"/>
    </row>
    <row r="418" spans="2:8" ht="15.5">
      <c r="B418" s="44"/>
      <c r="C418" s="44"/>
      <c r="D418" s="44"/>
      <c r="E418" s="46"/>
      <c r="G418" s="44"/>
      <c r="H418" s="44"/>
    </row>
    <row r="419" spans="2:8" ht="15.5">
      <c r="B419" s="44"/>
      <c r="C419" s="44"/>
      <c r="D419" s="44"/>
      <c r="E419" s="46"/>
      <c r="G419" s="44"/>
      <c r="H419" s="44"/>
    </row>
    <row r="420" spans="2:8" ht="15.5">
      <c r="B420" s="44"/>
      <c r="C420" s="44"/>
      <c r="D420" s="44"/>
      <c r="E420" s="46"/>
      <c r="G420" s="44"/>
      <c r="H420" s="44"/>
    </row>
    <row r="421" spans="2:8" ht="15.5">
      <c r="B421" s="44"/>
      <c r="C421" s="44"/>
      <c r="D421" s="44"/>
      <c r="E421" s="46"/>
      <c r="G421" s="44"/>
      <c r="H421" s="44"/>
    </row>
    <row r="422" spans="2:8" ht="15.5">
      <c r="B422" s="44"/>
      <c r="C422" s="44"/>
      <c r="D422" s="44"/>
      <c r="E422" s="46"/>
      <c r="G422" s="44"/>
      <c r="H422" s="44"/>
    </row>
    <row r="423" spans="2:8" ht="15.5">
      <c r="B423" s="44"/>
      <c r="C423" s="44"/>
      <c r="D423" s="44"/>
      <c r="E423" s="46"/>
      <c r="G423" s="44"/>
      <c r="H423" s="44"/>
    </row>
    <row r="424" spans="2:8" ht="15.5">
      <c r="B424" s="44"/>
      <c r="C424" s="44"/>
      <c r="D424" s="44"/>
      <c r="E424" s="46"/>
      <c r="G424" s="44"/>
      <c r="H424" s="44"/>
    </row>
    <row r="425" spans="2:8" ht="15.5">
      <c r="B425" s="44"/>
      <c r="C425" s="44"/>
      <c r="D425" s="44"/>
      <c r="E425" s="46"/>
      <c r="G425" s="44"/>
      <c r="H425" s="44"/>
    </row>
    <row r="426" spans="2:8" ht="15.5">
      <c r="B426" s="44"/>
      <c r="C426" s="44"/>
      <c r="D426" s="44"/>
      <c r="E426" s="46"/>
      <c r="G426" s="44"/>
      <c r="H426" s="44"/>
    </row>
    <row r="427" spans="2:8" ht="15.5">
      <c r="B427" s="44"/>
      <c r="C427" s="44"/>
      <c r="D427" s="44"/>
      <c r="E427" s="46"/>
      <c r="G427" s="44"/>
      <c r="H427" s="44"/>
    </row>
    <row r="428" spans="2:8" ht="15.5">
      <c r="B428" s="44"/>
      <c r="C428" s="44"/>
      <c r="D428" s="44"/>
      <c r="E428" s="46"/>
      <c r="G428" s="44"/>
      <c r="H428" s="44"/>
    </row>
    <row r="429" spans="2:8" ht="15.5">
      <c r="B429" s="44"/>
      <c r="C429" s="44"/>
      <c r="D429" s="44"/>
      <c r="E429" s="46"/>
      <c r="G429" s="44"/>
      <c r="H429" s="44"/>
    </row>
    <row r="430" spans="2:8" ht="15.5">
      <c r="B430" s="44"/>
      <c r="C430" s="44"/>
      <c r="D430" s="44"/>
      <c r="E430" s="46"/>
      <c r="G430" s="44"/>
      <c r="H430" s="44"/>
    </row>
    <row r="431" spans="2:8" ht="15.5">
      <c r="B431" s="44"/>
      <c r="C431" s="44"/>
      <c r="D431" s="44"/>
      <c r="E431" s="46"/>
      <c r="G431" s="44"/>
      <c r="H431" s="44"/>
    </row>
    <row r="432" spans="2:8" ht="15.5">
      <c r="B432" s="44"/>
      <c r="C432" s="44"/>
      <c r="D432" s="44"/>
      <c r="E432" s="46"/>
      <c r="G432" s="44"/>
      <c r="H432" s="44"/>
    </row>
    <row r="433" spans="2:8" ht="15.5">
      <c r="B433" s="44"/>
      <c r="C433" s="44"/>
      <c r="D433" s="44"/>
      <c r="E433" s="46"/>
      <c r="G433" s="44"/>
      <c r="H433" s="44"/>
    </row>
    <row r="434" spans="2:8" ht="15.5">
      <c r="B434" s="44"/>
      <c r="C434" s="44"/>
      <c r="D434" s="44"/>
      <c r="E434" s="46"/>
      <c r="G434" s="44"/>
      <c r="H434" s="44"/>
    </row>
    <row r="435" spans="2:8" ht="15.5">
      <c r="B435" s="44"/>
      <c r="C435" s="44"/>
      <c r="D435" s="44"/>
      <c r="E435" s="46"/>
      <c r="G435" s="44"/>
      <c r="H435" s="44"/>
    </row>
    <row r="436" spans="2:8" ht="15.5">
      <c r="B436" s="44"/>
      <c r="C436" s="44"/>
      <c r="D436" s="44"/>
      <c r="E436" s="46"/>
      <c r="G436" s="44"/>
      <c r="H436" s="44"/>
    </row>
    <row r="437" spans="2:8" ht="15.5">
      <c r="B437" s="44"/>
      <c r="C437" s="44"/>
      <c r="D437" s="44"/>
      <c r="E437" s="46"/>
      <c r="G437" s="44"/>
      <c r="H437" s="44"/>
    </row>
    <row r="438" spans="2:8" ht="15.5">
      <c r="B438" s="44"/>
      <c r="C438" s="44"/>
      <c r="D438" s="44"/>
      <c r="E438" s="46"/>
      <c r="G438" s="44"/>
      <c r="H438" s="44"/>
    </row>
    <row r="439" spans="2:8" ht="15.5">
      <c r="B439" s="44"/>
      <c r="C439" s="44"/>
      <c r="D439" s="44"/>
      <c r="E439" s="46"/>
      <c r="G439" s="44"/>
      <c r="H439" s="44"/>
    </row>
    <row r="440" spans="2:8" ht="15.5">
      <c r="B440" s="44"/>
      <c r="C440" s="44"/>
      <c r="D440" s="44"/>
      <c r="E440" s="46"/>
      <c r="G440" s="44"/>
      <c r="H440" s="44"/>
    </row>
    <row r="441" spans="2:8" ht="15.5">
      <c r="B441" s="44"/>
      <c r="C441" s="44"/>
      <c r="D441" s="44"/>
      <c r="E441" s="46"/>
      <c r="G441" s="44"/>
      <c r="H441" s="44"/>
    </row>
    <row r="442" spans="2:8" ht="15.5">
      <c r="B442" s="44"/>
      <c r="C442" s="44"/>
      <c r="D442" s="44"/>
      <c r="E442" s="46"/>
      <c r="G442" s="44"/>
      <c r="H442" s="44"/>
    </row>
    <row r="443" spans="2:8" ht="15.5">
      <c r="B443" s="44"/>
      <c r="C443" s="44"/>
      <c r="D443" s="44"/>
      <c r="E443" s="46"/>
      <c r="G443" s="44"/>
      <c r="H443" s="44"/>
    </row>
    <row r="444" spans="2:8" ht="15.5">
      <c r="B444" s="44"/>
      <c r="C444" s="44"/>
      <c r="D444" s="44"/>
      <c r="E444" s="46"/>
      <c r="G444" s="44"/>
      <c r="H444" s="44"/>
    </row>
    <row r="445" spans="2:8" ht="15.5">
      <c r="B445" s="44"/>
      <c r="C445" s="44"/>
      <c r="D445" s="44"/>
      <c r="E445" s="46"/>
      <c r="G445" s="44"/>
      <c r="H445" s="44"/>
    </row>
    <row r="446" spans="2:8" ht="15.5">
      <c r="B446" s="44"/>
      <c r="C446" s="44"/>
      <c r="D446" s="44"/>
      <c r="E446" s="46"/>
      <c r="G446" s="44"/>
      <c r="H446" s="44"/>
    </row>
    <row r="447" spans="2:8" ht="15.5">
      <c r="B447" s="44"/>
      <c r="C447" s="44"/>
      <c r="D447" s="44"/>
      <c r="E447" s="46"/>
      <c r="G447" s="44"/>
      <c r="H447" s="44"/>
    </row>
    <row r="448" spans="2:8" ht="15.5">
      <c r="B448" s="44"/>
      <c r="C448" s="44"/>
      <c r="D448" s="44"/>
      <c r="E448" s="46"/>
      <c r="G448" s="44"/>
      <c r="H448" s="44"/>
    </row>
    <row r="449" spans="2:8" ht="15.5">
      <c r="B449" s="44"/>
      <c r="C449" s="44"/>
      <c r="D449" s="44"/>
      <c r="E449" s="46"/>
      <c r="G449" s="44"/>
      <c r="H449" s="44"/>
    </row>
    <row r="450" spans="2:8" ht="15.5">
      <c r="B450" s="44"/>
      <c r="C450" s="44"/>
      <c r="D450" s="44"/>
      <c r="E450" s="46"/>
      <c r="G450" s="44"/>
      <c r="H450" s="44"/>
    </row>
    <row r="451" spans="2:8" ht="15.5">
      <c r="B451" s="44"/>
      <c r="C451" s="44"/>
      <c r="D451" s="44"/>
      <c r="E451" s="46"/>
      <c r="G451" s="44"/>
      <c r="H451" s="44"/>
    </row>
    <row r="452" spans="2:8" ht="15.5">
      <c r="B452" s="44"/>
      <c r="C452" s="44"/>
      <c r="D452" s="44"/>
      <c r="E452" s="46"/>
      <c r="G452" s="44"/>
      <c r="H452" s="44"/>
    </row>
    <row r="453" spans="2:8" ht="15.5">
      <c r="B453" s="44"/>
      <c r="C453" s="44"/>
      <c r="D453" s="44"/>
      <c r="E453" s="46"/>
      <c r="G453" s="44"/>
      <c r="H453" s="44"/>
    </row>
    <row r="454" spans="2:8" ht="15.5">
      <c r="B454" s="44"/>
      <c r="C454" s="44"/>
      <c r="D454" s="44"/>
      <c r="E454" s="46"/>
      <c r="G454" s="44"/>
      <c r="H454" s="44"/>
    </row>
    <row r="455" spans="2:8" ht="15.5">
      <c r="B455" s="44"/>
      <c r="C455" s="44"/>
      <c r="D455" s="44"/>
      <c r="E455" s="46"/>
      <c r="G455" s="44"/>
      <c r="H455" s="44"/>
    </row>
    <row r="456" spans="2:8" ht="15.5">
      <c r="B456" s="44"/>
      <c r="C456" s="44"/>
      <c r="D456" s="44"/>
      <c r="E456" s="46"/>
      <c r="G456" s="44"/>
      <c r="H456" s="44"/>
    </row>
    <row r="457" spans="2:8" ht="15.5">
      <c r="B457" s="44"/>
      <c r="C457" s="44"/>
      <c r="D457" s="44"/>
      <c r="E457" s="46"/>
      <c r="G457" s="44"/>
      <c r="H457" s="44"/>
    </row>
    <row r="458" spans="2:8" ht="15.5">
      <c r="B458" s="44"/>
      <c r="C458" s="44"/>
      <c r="D458" s="44"/>
      <c r="E458" s="46"/>
      <c r="G458" s="44"/>
      <c r="H458" s="44"/>
    </row>
    <row r="459" spans="2:8" ht="15.5">
      <c r="B459" s="44"/>
      <c r="C459" s="44"/>
      <c r="D459" s="44"/>
      <c r="E459" s="46"/>
      <c r="G459" s="44"/>
      <c r="H459" s="44"/>
    </row>
    <row r="460" spans="2:8" ht="15.5">
      <c r="B460" s="44"/>
      <c r="C460" s="44"/>
      <c r="D460" s="44"/>
      <c r="E460" s="46"/>
      <c r="G460" s="44"/>
      <c r="H460" s="44"/>
    </row>
    <row r="461" spans="2:8" ht="15.5">
      <c r="B461" s="44"/>
      <c r="C461" s="44"/>
      <c r="D461" s="44"/>
      <c r="E461" s="46"/>
      <c r="G461" s="44"/>
      <c r="H461" s="44"/>
    </row>
    <row r="462" spans="2:8" ht="15.5">
      <c r="B462" s="44"/>
      <c r="C462" s="44"/>
      <c r="D462" s="44"/>
      <c r="E462" s="46"/>
      <c r="G462" s="44"/>
      <c r="H462" s="44"/>
    </row>
    <row r="463" spans="2:8" ht="15.5">
      <c r="B463" s="44"/>
      <c r="C463" s="44"/>
      <c r="D463" s="44"/>
      <c r="E463" s="46"/>
      <c r="G463" s="44"/>
      <c r="H463" s="44"/>
    </row>
    <row r="464" spans="2:8" ht="15.5">
      <c r="B464" s="44"/>
      <c r="C464" s="44"/>
      <c r="D464" s="44"/>
      <c r="E464" s="46"/>
      <c r="G464" s="44"/>
      <c r="H464" s="44"/>
    </row>
    <row r="465" spans="2:8" ht="15.5">
      <c r="B465" s="44"/>
      <c r="C465" s="44"/>
      <c r="D465" s="44"/>
      <c r="E465" s="46"/>
      <c r="G465" s="44"/>
      <c r="H465" s="44"/>
    </row>
    <row r="466" spans="2:8" ht="15.5">
      <c r="B466" s="44"/>
      <c r="C466" s="44"/>
      <c r="D466" s="44"/>
      <c r="E466" s="46"/>
      <c r="G466" s="44"/>
      <c r="H466" s="44"/>
    </row>
    <row r="467" spans="2:8" ht="15.5">
      <c r="B467" s="44"/>
      <c r="C467" s="44"/>
      <c r="D467" s="44"/>
      <c r="E467" s="46"/>
      <c r="G467" s="44"/>
      <c r="H467" s="44"/>
    </row>
    <row r="468" spans="2:8" ht="15.5">
      <c r="B468" s="44"/>
      <c r="C468" s="44"/>
      <c r="D468" s="44"/>
      <c r="E468" s="46"/>
      <c r="G468" s="44"/>
      <c r="H468" s="44"/>
    </row>
    <row r="469" spans="2:8" ht="15.5">
      <c r="B469" s="44"/>
      <c r="C469" s="44"/>
      <c r="D469" s="44"/>
      <c r="E469" s="46"/>
      <c r="G469" s="44"/>
      <c r="H469" s="44"/>
    </row>
    <row r="470" spans="2:8" ht="15.5">
      <c r="B470" s="44"/>
      <c r="C470" s="44"/>
      <c r="D470" s="44"/>
      <c r="E470" s="46"/>
      <c r="G470" s="44"/>
      <c r="H470" s="44"/>
    </row>
    <row r="471" spans="2:8" ht="15.5">
      <c r="B471" s="44"/>
      <c r="C471" s="44"/>
      <c r="D471" s="44"/>
      <c r="E471" s="46"/>
      <c r="G471" s="44"/>
      <c r="H471" s="44"/>
    </row>
    <row r="472" spans="2:8" ht="15.5">
      <c r="B472" s="44"/>
      <c r="C472" s="44"/>
      <c r="D472" s="44"/>
      <c r="E472" s="46"/>
      <c r="G472" s="44"/>
      <c r="H472" s="44"/>
    </row>
    <row r="473" spans="2:8" ht="15.5">
      <c r="B473" s="44"/>
      <c r="C473" s="44"/>
      <c r="D473" s="44"/>
      <c r="E473" s="46"/>
      <c r="G473" s="44"/>
      <c r="H473" s="44"/>
    </row>
    <row r="474" spans="2:8" ht="15.5">
      <c r="B474" s="44"/>
      <c r="C474" s="44"/>
      <c r="D474" s="44"/>
      <c r="E474" s="46"/>
      <c r="G474" s="44"/>
      <c r="H474" s="44"/>
    </row>
    <row r="475" spans="2:8" ht="15.5">
      <c r="B475" s="44"/>
      <c r="C475" s="44"/>
      <c r="D475" s="44"/>
      <c r="E475" s="46"/>
      <c r="G475" s="44"/>
      <c r="H475" s="44"/>
    </row>
    <row r="476" spans="2:8" ht="15.5">
      <c r="B476" s="44"/>
      <c r="C476" s="44"/>
      <c r="D476" s="44"/>
      <c r="E476" s="46"/>
      <c r="G476" s="44"/>
      <c r="H476" s="44"/>
    </row>
    <row r="477" spans="2:8" ht="15.5">
      <c r="B477" s="44"/>
      <c r="C477" s="44"/>
      <c r="D477" s="44"/>
      <c r="E477" s="46"/>
      <c r="G477" s="44"/>
      <c r="H477" s="44"/>
    </row>
    <row r="478" spans="2:8" ht="15.5">
      <c r="B478" s="44"/>
      <c r="C478" s="44"/>
      <c r="D478" s="44"/>
      <c r="E478" s="46"/>
      <c r="G478" s="44"/>
      <c r="H478" s="44"/>
    </row>
    <row r="479" spans="2:8" ht="15.5">
      <c r="B479" s="44"/>
      <c r="C479" s="44"/>
      <c r="D479" s="44"/>
      <c r="E479" s="46"/>
      <c r="G479" s="44"/>
      <c r="H479" s="44"/>
    </row>
    <row r="480" spans="2:8" ht="15.5">
      <c r="B480" s="44"/>
      <c r="C480" s="44"/>
      <c r="D480" s="44"/>
      <c r="E480" s="46"/>
      <c r="G480" s="44"/>
      <c r="H480" s="44"/>
    </row>
    <row r="481" spans="2:8" ht="15.5">
      <c r="B481" s="44"/>
      <c r="C481" s="44"/>
      <c r="D481" s="44"/>
      <c r="E481" s="46"/>
      <c r="G481" s="44"/>
      <c r="H481" s="44"/>
    </row>
    <row r="482" spans="2:8" ht="15.5">
      <c r="B482" s="44"/>
      <c r="C482" s="44"/>
      <c r="D482" s="44"/>
      <c r="E482" s="46"/>
      <c r="G482" s="44"/>
      <c r="H482" s="44"/>
    </row>
    <row r="483" spans="2:8" ht="15.5">
      <c r="B483" s="44"/>
      <c r="C483" s="44"/>
      <c r="D483" s="44"/>
      <c r="E483" s="46"/>
      <c r="G483" s="44"/>
      <c r="H483" s="44"/>
    </row>
    <row r="484" spans="2:8" ht="15.5">
      <c r="B484" s="44"/>
      <c r="C484" s="44"/>
      <c r="D484" s="44"/>
      <c r="E484" s="46"/>
      <c r="G484" s="44"/>
      <c r="H484" s="44"/>
    </row>
    <row r="485" spans="2:8" ht="15.5">
      <c r="B485" s="44"/>
      <c r="C485" s="44"/>
      <c r="D485" s="44"/>
      <c r="E485" s="46"/>
      <c r="G485" s="44"/>
      <c r="H485" s="44"/>
    </row>
    <row r="486" spans="2:8" ht="15.5">
      <c r="B486" s="44"/>
      <c r="C486" s="44"/>
      <c r="D486" s="44"/>
      <c r="E486" s="46"/>
      <c r="G486" s="44"/>
      <c r="H486" s="44"/>
    </row>
    <row r="487" spans="2:8" ht="15.5">
      <c r="B487" s="44"/>
      <c r="C487" s="44"/>
      <c r="D487" s="44"/>
      <c r="E487" s="46"/>
      <c r="G487" s="44"/>
      <c r="H487" s="44"/>
    </row>
    <row r="488" spans="2:8" ht="15.5">
      <c r="B488" s="44"/>
      <c r="C488" s="44"/>
      <c r="D488" s="44"/>
      <c r="E488" s="46"/>
      <c r="G488" s="44"/>
      <c r="H488" s="44"/>
    </row>
    <row r="489" spans="2:8" ht="15.5">
      <c r="B489" s="44"/>
      <c r="C489" s="44"/>
      <c r="D489" s="44"/>
      <c r="E489" s="46"/>
      <c r="G489" s="44"/>
      <c r="H489" s="44"/>
    </row>
    <row r="490" spans="2:8" ht="15.5">
      <c r="B490" s="44"/>
      <c r="C490" s="44"/>
      <c r="D490" s="44"/>
      <c r="E490" s="46"/>
      <c r="G490" s="44"/>
      <c r="H490" s="44"/>
    </row>
    <row r="491" spans="2:8" ht="15.5">
      <c r="B491" s="44"/>
      <c r="C491" s="44"/>
      <c r="D491" s="44"/>
      <c r="E491" s="46"/>
      <c r="G491" s="44"/>
      <c r="H491" s="44"/>
    </row>
    <row r="492" spans="2:8" ht="15.5">
      <c r="B492" s="44"/>
      <c r="C492" s="44"/>
      <c r="D492" s="44"/>
      <c r="E492" s="46"/>
      <c r="G492" s="44"/>
      <c r="H492" s="44"/>
    </row>
    <row r="493" spans="2:8" ht="15.5">
      <c r="B493" s="44"/>
      <c r="C493" s="44"/>
      <c r="D493" s="44"/>
      <c r="E493" s="46"/>
      <c r="G493" s="44"/>
      <c r="H493" s="44"/>
    </row>
    <row r="494" spans="2:8" ht="15.5">
      <c r="B494" s="44"/>
      <c r="C494" s="44"/>
      <c r="D494" s="44"/>
      <c r="E494" s="46"/>
      <c r="G494" s="44"/>
      <c r="H494" s="44"/>
    </row>
    <row r="495" spans="2:8" ht="15.5">
      <c r="B495" s="44"/>
      <c r="C495" s="44"/>
      <c r="D495" s="44"/>
      <c r="E495" s="46"/>
      <c r="G495" s="44"/>
      <c r="H495" s="44"/>
    </row>
    <row r="496" spans="2:8" ht="15.5">
      <c r="B496" s="44"/>
      <c r="C496" s="44"/>
      <c r="D496" s="44"/>
      <c r="E496" s="46"/>
      <c r="G496" s="44"/>
      <c r="H496" s="44"/>
    </row>
    <row r="497" spans="2:8" ht="15.5">
      <c r="B497" s="44"/>
      <c r="C497" s="44"/>
      <c r="D497" s="44"/>
      <c r="E497" s="46"/>
      <c r="G497" s="44"/>
      <c r="H497" s="44"/>
    </row>
    <row r="498" spans="2:8" ht="15.5">
      <c r="B498" s="44"/>
      <c r="C498" s="44"/>
      <c r="D498" s="44"/>
      <c r="E498" s="46"/>
      <c r="G498" s="44"/>
      <c r="H498" s="44"/>
    </row>
    <row r="499" spans="2:8" ht="15.5">
      <c r="B499" s="44"/>
      <c r="C499" s="44"/>
      <c r="D499" s="44"/>
      <c r="E499" s="46"/>
      <c r="G499" s="44"/>
      <c r="H499" s="44"/>
    </row>
    <row r="500" spans="2:8" ht="15.5">
      <c r="B500" s="44"/>
      <c r="C500" s="44"/>
      <c r="D500" s="44"/>
      <c r="E500" s="46"/>
      <c r="G500" s="44"/>
      <c r="H500" s="44"/>
    </row>
    <row r="501" spans="2:8" ht="15.5">
      <c r="B501" s="44"/>
      <c r="C501" s="44"/>
      <c r="D501" s="44"/>
      <c r="E501" s="46"/>
      <c r="G501" s="44"/>
      <c r="H501" s="44"/>
    </row>
    <row r="502" spans="2:8" ht="15.5">
      <c r="B502" s="44"/>
      <c r="C502" s="44"/>
      <c r="D502" s="44"/>
      <c r="E502" s="46"/>
      <c r="G502" s="44"/>
      <c r="H502" s="44"/>
    </row>
    <row r="503" spans="2:8" ht="15.5">
      <c r="B503" s="44"/>
      <c r="C503" s="44"/>
      <c r="D503" s="44"/>
      <c r="E503" s="46"/>
      <c r="G503" s="44"/>
      <c r="H503" s="44"/>
    </row>
    <row r="504" spans="2:8" ht="15.5">
      <c r="B504" s="44"/>
      <c r="C504" s="44"/>
      <c r="D504" s="44"/>
      <c r="E504" s="46"/>
      <c r="G504" s="44"/>
      <c r="H504" s="44"/>
    </row>
    <row r="505" spans="2:8" ht="15.5">
      <c r="B505" s="44"/>
      <c r="C505" s="44"/>
      <c r="D505" s="44"/>
      <c r="E505" s="46"/>
      <c r="G505" s="44"/>
      <c r="H505" s="44"/>
    </row>
    <row r="506" spans="2:8" ht="15.5">
      <c r="B506" s="44"/>
      <c r="C506" s="44"/>
      <c r="D506" s="44"/>
      <c r="E506" s="46"/>
      <c r="G506" s="44"/>
      <c r="H506" s="44"/>
    </row>
    <row r="507" spans="2:8" ht="15.5">
      <c r="B507" s="44"/>
      <c r="C507" s="44"/>
      <c r="D507" s="44"/>
      <c r="E507" s="46"/>
      <c r="G507" s="44"/>
      <c r="H507" s="44"/>
    </row>
    <row r="508" spans="2:8" ht="15.5">
      <c r="B508" s="44"/>
      <c r="C508" s="44"/>
      <c r="D508" s="44"/>
      <c r="E508" s="46"/>
      <c r="G508" s="44"/>
      <c r="H508" s="44"/>
    </row>
    <row r="509" spans="2:8" ht="15.5">
      <c r="B509" s="44"/>
      <c r="C509" s="44"/>
      <c r="D509" s="44"/>
      <c r="E509" s="46"/>
      <c r="G509" s="44"/>
      <c r="H509" s="44"/>
    </row>
    <row r="510" spans="2:8" ht="15.5">
      <c r="B510" s="44"/>
      <c r="C510" s="44"/>
      <c r="D510" s="44"/>
      <c r="E510" s="46"/>
      <c r="G510" s="44"/>
      <c r="H510" s="44"/>
    </row>
    <row r="511" spans="2:8" ht="15.5">
      <c r="B511" s="44"/>
      <c r="C511" s="44"/>
      <c r="D511" s="44"/>
      <c r="E511" s="46"/>
      <c r="G511" s="44"/>
      <c r="H511" s="44"/>
    </row>
    <row r="512" spans="2:8" ht="15.5">
      <c r="B512" s="44"/>
      <c r="C512" s="44"/>
      <c r="D512" s="44"/>
      <c r="E512" s="46"/>
      <c r="G512" s="44"/>
      <c r="H512" s="44"/>
    </row>
    <row r="513" spans="2:8" ht="15.5">
      <c r="B513" s="44"/>
      <c r="C513" s="44"/>
      <c r="D513" s="44"/>
      <c r="E513" s="46"/>
      <c r="G513" s="44"/>
      <c r="H513" s="44"/>
    </row>
    <row r="514" spans="2:8" ht="15.5">
      <c r="B514" s="44"/>
      <c r="C514" s="44"/>
      <c r="D514" s="44"/>
      <c r="E514" s="46"/>
      <c r="G514" s="44"/>
      <c r="H514" s="44"/>
    </row>
    <row r="515" spans="2:8" ht="15.5">
      <c r="B515" s="44"/>
      <c r="C515" s="44"/>
      <c r="D515" s="44"/>
      <c r="E515" s="46"/>
      <c r="G515" s="44"/>
      <c r="H515" s="44"/>
    </row>
    <row r="516" spans="2:8" ht="15.5">
      <c r="B516" s="44"/>
      <c r="C516" s="44"/>
      <c r="D516" s="44"/>
      <c r="E516" s="46"/>
      <c r="G516" s="44"/>
      <c r="H516" s="44"/>
    </row>
    <row r="517" spans="2:8" ht="15.5">
      <c r="B517" s="44"/>
      <c r="C517" s="44"/>
      <c r="D517" s="44"/>
      <c r="E517" s="46"/>
      <c r="G517" s="44"/>
      <c r="H517" s="44"/>
    </row>
    <row r="518" spans="2:8" ht="15.5">
      <c r="B518" s="44"/>
      <c r="C518" s="44"/>
      <c r="D518" s="44"/>
      <c r="E518" s="46"/>
      <c r="G518" s="44"/>
      <c r="H518" s="44"/>
    </row>
    <row r="519" spans="2:8" ht="15.5">
      <c r="B519" s="44"/>
      <c r="C519" s="44"/>
      <c r="D519" s="44"/>
      <c r="E519" s="46"/>
      <c r="G519" s="44"/>
      <c r="H519" s="44"/>
    </row>
    <row r="520" spans="2:8" ht="15.5">
      <c r="B520" s="44"/>
      <c r="C520" s="44"/>
      <c r="D520" s="44"/>
      <c r="E520" s="46"/>
      <c r="G520" s="44"/>
      <c r="H520" s="44"/>
    </row>
    <row r="521" spans="2:8" ht="15.5">
      <c r="B521" s="44"/>
      <c r="C521" s="44"/>
      <c r="D521" s="44"/>
      <c r="E521" s="46"/>
      <c r="G521" s="44"/>
      <c r="H521" s="44"/>
    </row>
    <row r="522" spans="2:8" ht="15.5">
      <c r="B522" s="44"/>
      <c r="C522" s="44"/>
      <c r="D522" s="44"/>
      <c r="E522" s="46"/>
      <c r="G522" s="44"/>
      <c r="H522" s="44"/>
    </row>
    <row r="523" spans="2:8" ht="15.5">
      <c r="B523" s="44"/>
      <c r="C523" s="44"/>
      <c r="D523" s="44"/>
      <c r="E523" s="46"/>
      <c r="G523" s="44"/>
      <c r="H523" s="44"/>
    </row>
    <row r="524" spans="2:8" ht="15.5">
      <c r="B524" s="44"/>
      <c r="C524" s="44"/>
      <c r="D524" s="44"/>
      <c r="E524" s="46"/>
      <c r="G524" s="44"/>
      <c r="H524" s="44"/>
    </row>
    <row r="525" spans="2:8" ht="15.5">
      <c r="B525" s="44"/>
      <c r="C525" s="44"/>
      <c r="D525" s="44"/>
      <c r="E525" s="46"/>
      <c r="G525" s="44"/>
      <c r="H525" s="44"/>
    </row>
    <row r="526" spans="2:8" ht="15.5">
      <c r="B526" s="44"/>
      <c r="C526" s="44"/>
      <c r="D526" s="44"/>
      <c r="E526" s="46"/>
      <c r="G526" s="44"/>
      <c r="H526" s="44"/>
    </row>
    <row r="527" spans="2:8" ht="15.5">
      <c r="B527" s="44"/>
      <c r="C527" s="44"/>
      <c r="D527" s="44"/>
      <c r="E527" s="46"/>
      <c r="G527" s="44"/>
      <c r="H527" s="44"/>
    </row>
    <row r="528" spans="2:8" ht="15.5">
      <c r="B528" s="44"/>
      <c r="C528" s="44"/>
      <c r="D528" s="44"/>
      <c r="E528" s="46"/>
      <c r="G528" s="44"/>
      <c r="H528" s="44"/>
    </row>
    <row r="529" spans="2:8" ht="15.5">
      <c r="B529" s="44"/>
      <c r="C529" s="44"/>
      <c r="D529" s="44"/>
      <c r="E529" s="46"/>
      <c r="G529" s="44"/>
      <c r="H529" s="44"/>
    </row>
    <row r="530" spans="2:8" ht="15.5">
      <c r="B530" s="44"/>
      <c r="C530" s="44"/>
      <c r="D530" s="44"/>
      <c r="E530" s="46"/>
      <c r="G530" s="44"/>
      <c r="H530" s="44"/>
    </row>
    <row r="531" spans="2:8" ht="15.5">
      <c r="B531" s="44"/>
      <c r="C531" s="44"/>
      <c r="D531" s="44"/>
      <c r="E531" s="46"/>
      <c r="G531" s="44"/>
      <c r="H531" s="44"/>
    </row>
    <row r="532" spans="2:8" ht="15.5">
      <c r="B532" s="44"/>
      <c r="C532" s="44"/>
      <c r="D532" s="44"/>
      <c r="E532" s="46"/>
      <c r="G532" s="44"/>
      <c r="H532" s="44"/>
    </row>
    <row r="533" spans="2:8" ht="15.5">
      <c r="B533" s="44"/>
      <c r="C533" s="44"/>
      <c r="D533" s="44"/>
      <c r="E533" s="46"/>
      <c r="G533" s="44"/>
      <c r="H533" s="44"/>
    </row>
    <row r="534" spans="2:8" ht="15.5">
      <c r="B534" s="44"/>
      <c r="C534" s="44"/>
      <c r="D534" s="44"/>
      <c r="E534" s="46"/>
      <c r="G534" s="44"/>
      <c r="H534" s="44"/>
    </row>
    <row r="535" spans="2:8" ht="15.5">
      <c r="B535" s="44"/>
      <c r="C535" s="44"/>
      <c r="D535" s="44"/>
      <c r="E535" s="46"/>
      <c r="G535" s="44"/>
      <c r="H535" s="44"/>
    </row>
    <row r="536" spans="2:8" ht="15.5">
      <c r="B536" s="44"/>
      <c r="C536" s="44"/>
      <c r="D536" s="44"/>
      <c r="E536" s="46"/>
      <c r="G536" s="44"/>
      <c r="H536" s="44"/>
    </row>
    <row r="537" spans="2:8" ht="15.5">
      <c r="B537" s="44"/>
      <c r="C537" s="44"/>
      <c r="D537" s="44"/>
      <c r="E537" s="46"/>
      <c r="G537" s="44"/>
      <c r="H537" s="44"/>
    </row>
    <row r="538" spans="2:8" ht="15.5">
      <c r="B538" s="44"/>
      <c r="C538" s="44"/>
      <c r="D538" s="44"/>
      <c r="E538" s="46"/>
      <c r="G538" s="44"/>
      <c r="H538" s="44"/>
    </row>
    <row r="539" spans="2:8" ht="15.5">
      <c r="B539" s="44"/>
      <c r="C539" s="44"/>
      <c r="D539" s="44"/>
      <c r="E539" s="46"/>
      <c r="G539" s="44"/>
      <c r="H539" s="44"/>
    </row>
    <row r="540" spans="2:8" ht="15.5">
      <c r="B540" s="44"/>
      <c r="C540" s="44"/>
      <c r="D540" s="44"/>
      <c r="E540" s="46"/>
      <c r="G540" s="44"/>
      <c r="H540" s="44"/>
    </row>
    <row r="541" spans="2:8" ht="15.5">
      <c r="B541" s="44"/>
      <c r="C541" s="44"/>
      <c r="D541" s="44"/>
      <c r="E541" s="46"/>
      <c r="G541" s="44"/>
      <c r="H541" s="44"/>
    </row>
    <row r="542" spans="2:8" ht="15.5">
      <c r="B542" s="44"/>
      <c r="C542" s="44"/>
      <c r="D542" s="44"/>
      <c r="E542" s="46"/>
      <c r="G542" s="44"/>
      <c r="H542" s="44"/>
    </row>
    <row r="543" spans="2:8" ht="15.5">
      <c r="B543" s="44"/>
      <c r="C543" s="44"/>
      <c r="D543" s="44"/>
      <c r="E543" s="46"/>
      <c r="G543" s="44"/>
      <c r="H543" s="44"/>
    </row>
    <row r="544" spans="2:8" ht="15.5">
      <c r="B544" s="44"/>
      <c r="C544" s="44"/>
      <c r="D544" s="44"/>
      <c r="E544" s="46"/>
      <c r="G544" s="44"/>
      <c r="H544" s="44"/>
    </row>
    <row r="545" spans="2:8" ht="15.5">
      <c r="B545" s="44"/>
      <c r="C545" s="44"/>
      <c r="D545" s="44"/>
      <c r="E545" s="46"/>
      <c r="G545" s="44"/>
      <c r="H545" s="44"/>
    </row>
    <row r="546" spans="2:8" ht="15.5">
      <c r="B546" s="44"/>
      <c r="C546" s="44"/>
      <c r="D546" s="44"/>
      <c r="E546" s="46"/>
      <c r="G546" s="44"/>
      <c r="H546" s="44"/>
    </row>
    <row r="547" spans="2:8" ht="15.5">
      <c r="B547" s="44"/>
      <c r="C547" s="44"/>
      <c r="D547" s="44"/>
      <c r="E547" s="46"/>
      <c r="G547" s="44"/>
      <c r="H547" s="44"/>
    </row>
    <row r="548" spans="2:8" ht="15.5">
      <c r="B548" s="44"/>
      <c r="C548" s="44"/>
      <c r="D548" s="44"/>
      <c r="E548" s="46"/>
      <c r="G548" s="44"/>
      <c r="H548" s="44"/>
    </row>
    <row r="549" spans="2:8" ht="15.5">
      <c r="B549" s="44"/>
      <c r="C549" s="44"/>
      <c r="D549" s="44"/>
      <c r="E549" s="46"/>
      <c r="G549" s="44"/>
      <c r="H549" s="44"/>
    </row>
    <row r="550" spans="2:8" ht="15.5">
      <c r="B550" s="44"/>
      <c r="C550" s="44"/>
      <c r="D550" s="44"/>
      <c r="E550" s="46"/>
      <c r="G550" s="44"/>
      <c r="H550" s="44"/>
    </row>
    <row r="551" spans="2:8" ht="15.5">
      <c r="B551" s="44"/>
      <c r="C551" s="44"/>
      <c r="D551" s="44"/>
      <c r="E551" s="46"/>
      <c r="G551" s="44"/>
      <c r="H551" s="44"/>
    </row>
    <row r="552" spans="2:8" ht="15.5">
      <c r="B552" s="44"/>
      <c r="C552" s="44"/>
      <c r="D552" s="44"/>
      <c r="E552" s="46"/>
      <c r="G552" s="44"/>
      <c r="H552" s="44"/>
    </row>
    <row r="553" spans="2:8" ht="15.5">
      <c r="B553" s="44"/>
      <c r="C553" s="44"/>
      <c r="D553" s="44"/>
      <c r="E553" s="46"/>
      <c r="G553" s="44"/>
      <c r="H553" s="44"/>
    </row>
    <row r="554" spans="2:8" ht="15.5">
      <c r="B554" s="44"/>
      <c r="C554" s="44"/>
      <c r="D554" s="44"/>
      <c r="E554" s="46"/>
      <c r="G554" s="44"/>
      <c r="H554" s="44"/>
    </row>
    <row r="555" spans="2:8" ht="15.5">
      <c r="B555" s="44"/>
      <c r="C555" s="44"/>
      <c r="D555" s="44"/>
      <c r="E555" s="46"/>
      <c r="G555" s="44"/>
      <c r="H555" s="44"/>
    </row>
    <row r="556" spans="2:8" ht="15.5">
      <c r="B556" s="44"/>
      <c r="C556" s="44"/>
      <c r="D556" s="44"/>
      <c r="E556" s="46"/>
      <c r="G556" s="44"/>
      <c r="H556" s="44"/>
    </row>
    <row r="557" spans="2:8" ht="15.5">
      <c r="B557" s="44"/>
      <c r="C557" s="44"/>
      <c r="D557" s="44"/>
      <c r="E557" s="46"/>
      <c r="G557" s="44"/>
      <c r="H557" s="44"/>
    </row>
    <row r="558" spans="2:8" ht="15.5">
      <c r="B558" s="44"/>
      <c r="C558" s="44"/>
      <c r="D558" s="44"/>
      <c r="E558" s="46"/>
      <c r="G558" s="44"/>
      <c r="H558" s="44"/>
    </row>
    <row r="559" spans="2:8" ht="15.5">
      <c r="B559" s="44"/>
      <c r="C559" s="44"/>
      <c r="D559" s="44"/>
      <c r="E559" s="46"/>
      <c r="G559" s="44"/>
      <c r="H559" s="44"/>
    </row>
    <row r="560" spans="2:8" ht="15.5">
      <c r="B560" s="44"/>
      <c r="C560" s="44"/>
      <c r="D560" s="44"/>
      <c r="E560" s="46"/>
      <c r="G560" s="44"/>
      <c r="H560" s="44"/>
    </row>
    <row r="561" spans="2:8" ht="15.5">
      <c r="B561" s="44"/>
      <c r="C561" s="44"/>
      <c r="D561" s="44"/>
      <c r="E561" s="46"/>
      <c r="G561" s="44"/>
      <c r="H561" s="44"/>
    </row>
    <row r="562" spans="2:8" ht="15.5">
      <c r="B562" s="44"/>
      <c r="C562" s="44"/>
      <c r="D562" s="44"/>
      <c r="E562" s="46"/>
      <c r="G562" s="44"/>
      <c r="H562" s="44"/>
    </row>
    <row r="563" spans="2:8" ht="15.5">
      <c r="B563" s="44"/>
      <c r="C563" s="44"/>
      <c r="D563" s="44"/>
      <c r="E563" s="46"/>
      <c r="G563" s="44"/>
      <c r="H563" s="44"/>
    </row>
    <row r="564" spans="2:8" ht="15.5">
      <c r="B564" s="44"/>
      <c r="C564" s="44"/>
      <c r="D564" s="44"/>
      <c r="E564" s="46"/>
      <c r="G564" s="44"/>
      <c r="H564" s="44"/>
    </row>
    <row r="565" spans="2:8" ht="15.5">
      <c r="B565" s="44"/>
      <c r="C565" s="44"/>
      <c r="D565" s="44"/>
      <c r="E565" s="46"/>
      <c r="G565" s="44"/>
      <c r="H565" s="44"/>
    </row>
    <row r="566" spans="2:8" ht="15.5">
      <c r="B566" s="44"/>
      <c r="C566" s="44"/>
      <c r="D566" s="44"/>
      <c r="E566" s="46"/>
      <c r="G566" s="44"/>
      <c r="H566" s="44"/>
    </row>
    <row r="567" spans="2:8" ht="15.5">
      <c r="B567" s="44"/>
      <c r="C567" s="44"/>
      <c r="D567" s="44"/>
      <c r="E567" s="46"/>
      <c r="G567" s="44"/>
      <c r="H567" s="44"/>
    </row>
    <row r="568" spans="2:8" ht="15.5">
      <c r="B568" s="44"/>
      <c r="C568" s="44"/>
      <c r="D568" s="44"/>
      <c r="E568" s="46"/>
      <c r="G568" s="44"/>
      <c r="H568" s="44"/>
    </row>
    <row r="569" spans="2:8" ht="15.5">
      <c r="B569" s="44"/>
      <c r="C569" s="44"/>
      <c r="D569" s="44"/>
      <c r="E569" s="46"/>
      <c r="G569" s="44"/>
      <c r="H569" s="44"/>
    </row>
    <row r="570" spans="2:8" ht="15.5">
      <c r="B570" s="44"/>
      <c r="C570" s="44"/>
      <c r="D570" s="44"/>
      <c r="E570" s="46"/>
      <c r="G570" s="44"/>
      <c r="H570" s="44"/>
    </row>
    <row r="571" spans="2:8" ht="15.5">
      <c r="B571" s="44"/>
      <c r="C571" s="44"/>
      <c r="D571" s="44"/>
      <c r="E571" s="46"/>
      <c r="G571" s="44"/>
      <c r="H571" s="44"/>
    </row>
    <row r="572" spans="2:8" ht="15.5">
      <c r="B572" s="44"/>
      <c r="C572" s="44"/>
      <c r="D572" s="44"/>
      <c r="E572" s="46"/>
      <c r="G572" s="44"/>
      <c r="H572" s="44"/>
    </row>
    <row r="573" spans="2:8" ht="15.5">
      <c r="B573" s="44"/>
      <c r="C573" s="44"/>
      <c r="D573" s="44"/>
      <c r="E573" s="46"/>
      <c r="G573" s="44"/>
      <c r="H573" s="44"/>
    </row>
    <row r="574" spans="2:8" ht="15.5">
      <c r="B574" s="44"/>
      <c r="C574" s="44"/>
      <c r="D574" s="44"/>
      <c r="E574" s="46"/>
      <c r="G574" s="44"/>
      <c r="H574" s="44"/>
    </row>
    <row r="575" spans="2:8" ht="15.5">
      <c r="B575" s="44"/>
      <c r="C575" s="44"/>
      <c r="D575" s="44"/>
      <c r="E575" s="46"/>
      <c r="G575" s="44"/>
      <c r="H575" s="44"/>
    </row>
    <row r="576" spans="2:8" ht="15.5">
      <c r="B576" s="44"/>
      <c r="C576" s="44"/>
      <c r="D576" s="44"/>
      <c r="E576" s="46"/>
      <c r="G576" s="44"/>
      <c r="H576" s="44"/>
    </row>
    <row r="577" spans="2:8" ht="15.5">
      <c r="B577" s="44"/>
      <c r="C577" s="44"/>
      <c r="D577" s="44"/>
      <c r="E577" s="46"/>
      <c r="G577" s="44"/>
      <c r="H577" s="44"/>
    </row>
    <row r="578" spans="2:8" ht="15.5">
      <c r="B578" s="44"/>
      <c r="C578" s="44"/>
      <c r="D578" s="44"/>
      <c r="E578" s="46"/>
      <c r="G578" s="44"/>
      <c r="H578" s="44"/>
    </row>
    <row r="579" spans="2:8" ht="15.5">
      <c r="B579" s="44"/>
      <c r="C579" s="44"/>
      <c r="D579" s="44"/>
      <c r="E579" s="46"/>
      <c r="G579" s="44"/>
      <c r="H579" s="44"/>
    </row>
    <row r="580" spans="2:8" ht="15.5">
      <c r="B580" s="44"/>
      <c r="C580" s="44"/>
      <c r="D580" s="44"/>
      <c r="E580" s="46"/>
      <c r="G580" s="44"/>
      <c r="H580" s="44"/>
    </row>
    <row r="581" spans="2:8" ht="15.5">
      <c r="B581" s="44"/>
      <c r="C581" s="44"/>
      <c r="D581" s="44"/>
      <c r="E581" s="46"/>
      <c r="G581" s="44"/>
      <c r="H581" s="44"/>
    </row>
    <row r="582" spans="2:8" ht="15.5">
      <c r="B582" s="44"/>
      <c r="C582" s="44"/>
      <c r="D582" s="44"/>
      <c r="E582" s="46"/>
      <c r="G582" s="44"/>
      <c r="H582" s="44"/>
    </row>
    <row r="583" spans="2:8" ht="15.5">
      <c r="B583" s="44"/>
      <c r="C583" s="44"/>
      <c r="D583" s="44"/>
      <c r="E583" s="46"/>
      <c r="G583" s="44"/>
      <c r="H583" s="44"/>
    </row>
    <row r="584" spans="2:8" ht="15.5">
      <c r="B584" s="44"/>
      <c r="C584" s="44"/>
      <c r="D584" s="44"/>
      <c r="E584" s="46"/>
      <c r="G584" s="44"/>
      <c r="H584" s="44"/>
    </row>
    <row r="585" spans="2:8" ht="15.5">
      <c r="B585" s="44"/>
      <c r="C585" s="44"/>
      <c r="D585" s="44"/>
      <c r="E585" s="46"/>
      <c r="G585" s="44"/>
      <c r="H585" s="44"/>
    </row>
    <row r="586" spans="2:8" ht="15.5">
      <c r="B586" s="44"/>
      <c r="C586" s="44"/>
      <c r="D586" s="44"/>
      <c r="E586" s="46"/>
      <c r="G586" s="44"/>
      <c r="H586" s="44"/>
    </row>
    <row r="587" spans="2:8" ht="15.5">
      <c r="B587" s="44"/>
      <c r="C587" s="44"/>
      <c r="D587" s="44"/>
      <c r="E587" s="46"/>
      <c r="G587" s="44"/>
      <c r="H587" s="44"/>
    </row>
    <row r="588" spans="2:8" ht="15.5">
      <c r="B588" s="44"/>
      <c r="C588" s="44"/>
      <c r="D588" s="44"/>
      <c r="E588" s="46"/>
      <c r="G588" s="44"/>
      <c r="H588" s="44"/>
    </row>
    <row r="589" spans="2:8" ht="15.5">
      <c r="B589" s="44"/>
      <c r="C589" s="44"/>
      <c r="D589" s="44"/>
      <c r="E589" s="46"/>
      <c r="G589" s="44"/>
      <c r="H589" s="44"/>
    </row>
    <row r="590" spans="2:8" ht="15.5">
      <c r="B590" s="44"/>
      <c r="C590" s="44"/>
      <c r="D590" s="44"/>
      <c r="E590" s="46"/>
      <c r="G590" s="44"/>
      <c r="H590" s="44"/>
    </row>
    <row r="591" spans="2:8" ht="15.5">
      <c r="B591" s="44"/>
      <c r="C591" s="44"/>
      <c r="D591" s="44"/>
      <c r="E591" s="46"/>
      <c r="G591" s="44"/>
      <c r="H591" s="44"/>
    </row>
    <row r="592" spans="2:8" ht="15.5">
      <c r="B592" s="44"/>
      <c r="C592" s="44"/>
      <c r="D592" s="44"/>
      <c r="E592" s="46"/>
      <c r="G592" s="44"/>
      <c r="H592" s="44"/>
    </row>
    <row r="593" spans="2:8" ht="15.5">
      <c r="B593" s="44"/>
      <c r="C593" s="44"/>
      <c r="D593" s="44"/>
      <c r="E593" s="46"/>
      <c r="G593" s="44"/>
      <c r="H593" s="44"/>
    </row>
    <row r="594" spans="2:8" ht="15.5">
      <c r="B594" s="44"/>
      <c r="C594" s="44"/>
      <c r="D594" s="44"/>
      <c r="E594" s="46"/>
      <c r="G594" s="44"/>
      <c r="H594" s="44"/>
    </row>
    <row r="595" spans="2:8" ht="15.5">
      <c r="B595" s="44"/>
      <c r="C595" s="44"/>
      <c r="D595" s="44"/>
      <c r="E595" s="46"/>
      <c r="G595" s="44"/>
      <c r="H595" s="44"/>
    </row>
    <row r="596" spans="2:8" ht="15.5">
      <c r="B596" s="44"/>
      <c r="C596" s="44"/>
      <c r="D596" s="44"/>
      <c r="E596" s="46"/>
      <c r="G596" s="44"/>
      <c r="H596" s="44"/>
    </row>
    <row r="597" spans="2:8" ht="15.5">
      <c r="B597" s="44"/>
      <c r="C597" s="44"/>
      <c r="D597" s="44"/>
      <c r="E597" s="46"/>
      <c r="G597" s="44"/>
      <c r="H597" s="44"/>
    </row>
    <row r="598" spans="2:8" ht="15.5">
      <c r="B598" s="44"/>
      <c r="C598" s="44"/>
      <c r="D598" s="44"/>
      <c r="E598" s="46"/>
      <c r="G598" s="44"/>
      <c r="H598" s="44"/>
    </row>
    <row r="599" spans="2:8" ht="15.5">
      <c r="B599" s="44"/>
      <c r="C599" s="44"/>
      <c r="D599" s="44"/>
      <c r="E599" s="46"/>
      <c r="G599" s="44"/>
      <c r="H599" s="44"/>
    </row>
    <row r="600" spans="2:8" ht="15.5">
      <c r="B600" s="44"/>
      <c r="C600" s="44"/>
      <c r="D600" s="44"/>
      <c r="E600" s="46"/>
      <c r="G600" s="44"/>
      <c r="H600" s="44"/>
    </row>
    <row r="601" spans="2:8" ht="15.5">
      <c r="B601" s="44"/>
      <c r="C601" s="44"/>
      <c r="D601" s="44"/>
      <c r="E601" s="46"/>
      <c r="G601" s="44"/>
      <c r="H601" s="44"/>
    </row>
    <row r="602" spans="2:8" ht="15.5">
      <c r="B602" s="44"/>
      <c r="C602" s="44"/>
      <c r="D602" s="44"/>
      <c r="E602" s="46"/>
      <c r="G602" s="44"/>
      <c r="H602" s="44"/>
    </row>
    <row r="603" spans="2:8" ht="15.5">
      <c r="B603" s="44"/>
      <c r="C603" s="44"/>
      <c r="D603" s="44"/>
      <c r="E603" s="46"/>
      <c r="G603" s="44"/>
      <c r="H603" s="44"/>
    </row>
    <row r="604" spans="2:8" ht="15.5">
      <c r="B604" s="44"/>
      <c r="C604" s="44"/>
      <c r="D604" s="44"/>
      <c r="E604" s="46"/>
      <c r="G604" s="44"/>
      <c r="H604" s="44"/>
    </row>
    <row r="605" spans="2:8" ht="15.5">
      <c r="B605" s="44"/>
      <c r="C605" s="44"/>
      <c r="D605" s="44"/>
      <c r="E605" s="46"/>
      <c r="G605" s="44"/>
      <c r="H605" s="44"/>
    </row>
    <row r="606" spans="2:8" ht="15.5">
      <c r="B606" s="44"/>
      <c r="C606" s="44"/>
      <c r="D606" s="44"/>
      <c r="E606" s="46"/>
      <c r="G606" s="44"/>
      <c r="H606" s="44"/>
    </row>
    <row r="607" spans="2:8" ht="15.5">
      <c r="B607" s="44"/>
      <c r="C607" s="44"/>
      <c r="D607" s="44"/>
      <c r="E607" s="46"/>
      <c r="G607" s="44"/>
      <c r="H607" s="44"/>
    </row>
    <row r="608" spans="2:8" ht="15.5">
      <c r="B608" s="44"/>
      <c r="C608" s="44"/>
      <c r="D608" s="44"/>
      <c r="E608" s="46"/>
      <c r="G608" s="44"/>
      <c r="H608" s="44"/>
    </row>
    <row r="609" spans="2:8" ht="15.5">
      <c r="B609" s="44"/>
      <c r="C609" s="44"/>
      <c r="D609" s="44"/>
      <c r="E609" s="46"/>
      <c r="G609" s="44"/>
      <c r="H609" s="44"/>
    </row>
    <row r="610" spans="2:8" ht="15.5">
      <c r="B610" s="44"/>
      <c r="C610" s="44"/>
      <c r="D610" s="44"/>
      <c r="E610" s="46"/>
      <c r="G610" s="44"/>
      <c r="H610" s="44"/>
    </row>
    <row r="611" spans="2:8" ht="15.5">
      <c r="B611" s="44"/>
      <c r="C611" s="44"/>
      <c r="D611" s="44"/>
      <c r="E611" s="46"/>
      <c r="G611" s="44"/>
      <c r="H611" s="44"/>
    </row>
    <row r="612" spans="2:8" ht="15.5">
      <c r="B612" s="44"/>
      <c r="C612" s="44"/>
      <c r="D612" s="44"/>
      <c r="E612" s="46"/>
      <c r="G612" s="44"/>
      <c r="H612" s="44"/>
    </row>
    <row r="613" spans="2:8" ht="15.5">
      <c r="B613" s="44"/>
      <c r="C613" s="44"/>
      <c r="D613" s="44"/>
      <c r="E613" s="46"/>
      <c r="G613" s="44"/>
      <c r="H613" s="44"/>
    </row>
    <row r="614" spans="2:8" ht="15.5">
      <c r="B614" s="44"/>
      <c r="C614" s="44"/>
      <c r="D614" s="44"/>
      <c r="E614" s="46"/>
      <c r="G614" s="44"/>
      <c r="H614" s="44"/>
    </row>
    <row r="615" spans="2:8" ht="15.5">
      <c r="B615" s="44"/>
      <c r="C615" s="44"/>
      <c r="D615" s="44"/>
      <c r="E615" s="46"/>
      <c r="G615" s="44"/>
      <c r="H615" s="44"/>
    </row>
    <row r="616" spans="2:8" ht="15.5">
      <c r="B616" s="44"/>
      <c r="C616" s="44"/>
      <c r="D616" s="44"/>
      <c r="E616" s="46"/>
      <c r="G616" s="44"/>
      <c r="H616" s="44"/>
    </row>
    <row r="617" spans="2:8" ht="15.5">
      <c r="B617" s="44"/>
      <c r="C617" s="44"/>
      <c r="D617" s="44"/>
      <c r="E617" s="46"/>
      <c r="G617" s="44"/>
      <c r="H617" s="44"/>
    </row>
    <row r="618" spans="2:8" ht="15.5">
      <c r="B618" s="44"/>
      <c r="C618" s="44"/>
      <c r="D618" s="44"/>
      <c r="E618" s="46"/>
      <c r="G618" s="44"/>
      <c r="H618" s="44"/>
    </row>
    <row r="619" spans="2:8" ht="15.5">
      <c r="B619" s="44"/>
      <c r="C619" s="44"/>
      <c r="D619" s="44"/>
      <c r="E619" s="46"/>
      <c r="G619" s="44"/>
      <c r="H619" s="44"/>
    </row>
    <row r="620" spans="2:8" ht="15.5">
      <c r="B620" s="44"/>
      <c r="C620" s="44"/>
      <c r="D620" s="44"/>
      <c r="E620" s="46"/>
      <c r="G620" s="44"/>
      <c r="H620" s="44"/>
    </row>
    <row r="621" spans="2:8" ht="15.5">
      <c r="B621" s="44"/>
      <c r="C621" s="44"/>
      <c r="D621" s="44"/>
      <c r="E621" s="46"/>
      <c r="G621" s="44"/>
      <c r="H621" s="44"/>
    </row>
    <row r="622" spans="2:8" ht="15.5">
      <c r="B622" s="44"/>
      <c r="C622" s="44"/>
      <c r="D622" s="44"/>
      <c r="E622" s="46"/>
      <c r="G622" s="44"/>
      <c r="H622" s="44"/>
    </row>
    <row r="623" spans="2:8" ht="15.5">
      <c r="B623" s="44"/>
      <c r="C623" s="44"/>
      <c r="D623" s="44"/>
      <c r="E623" s="46"/>
      <c r="G623" s="44"/>
      <c r="H623" s="44"/>
    </row>
    <row r="624" spans="2:8" ht="15.5">
      <c r="B624" s="44"/>
      <c r="C624" s="44"/>
      <c r="D624" s="44"/>
      <c r="E624" s="46"/>
      <c r="G624" s="44"/>
      <c r="H624" s="44"/>
    </row>
    <row r="625" spans="2:8" ht="15.5">
      <c r="B625" s="44"/>
      <c r="C625" s="44"/>
      <c r="D625" s="44"/>
      <c r="E625" s="46"/>
      <c r="G625" s="44"/>
      <c r="H625" s="44"/>
    </row>
    <row r="626" spans="2:8" ht="15.5">
      <c r="B626" s="44"/>
      <c r="C626" s="44"/>
      <c r="D626" s="44"/>
      <c r="E626" s="46"/>
      <c r="G626" s="44"/>
      <c r="H626" s="44"/>
    </row>
    <row r="627" spans="2:8" ht="15.5">
      <c r="B627" s="44"/>
      <c r="C627" s="44"/>
      <c r="D627" s="44"/>
      <c r="E627" s="46"/>
      <c r="G627" s="44"/>
      <c r="H627" s="44"/>
    </row>
    <row r="628" spans="2:8" ht="15.5">
      <c r="B628" s="44"/>
      <c r="C628" s="44"/>
      <c r="D628" s="44"/>
      <c r="E628" s="46"/>
      <c r="G628" s="44"/>
      <c r="H628" s="44"/>
    </row>
    <row r="629" spans="2:8" ht="15.5">
      <c r="B629" s="44"/>
      <c r="C629" s="44"/>
      <c r="D629" s="44"/>
      <c r="E629" s="46"/>
      <c r="G629" s="44"/>
      <c r="H629" s="44"/>
    </row>
    <row r="630" spans="2:8" ht="15.5">
      <c r="B630" s="44"/>
      <c r="C630" s="44"/>
      <c r="D630" s="44"/>
      <c r="E630" s="46"/>
      <c r="G630" s="44"/>
      <c r="H630" s="44"/>
    </row>
    <row r="631" spans="2:8" ht="15.5">
      <c r="B631" s="44"/>
      <c r="C631" s="44"/>
      <c r="D631" s="44"/>
      <c r="E631" s="46"/>
      <c r="G631" s="44"/>
      <c r="H631" s="44"/>
    </row>
    <row r="632" spans="2:8" ht="15.5">
      <c r="B632" s="44"/>
      <c r="C632" s="44"/>
      <c r="D632" s="44"/>
      <c r="E632" s="46"/>
      <c r="G632" s="44"/>
      <c r="H632" s="44"/>
    </row>
    <row r="633" spans="2:8" ht="15.5">
      <c r="B633" s="44"/>
      <c r="C633" s="44"/>
      <c r="D633" s="44"/>
      <c r="E633" s="46"/>
      <c r="G633" s="44"/>
      <c r="H633" s="44"/>
    </row>
    <row r="634" spans="2:8" ht="15.5">
      <c r="B634" s="44"/>
      <c r="C634" s="44"/>
      <c r="D634" s="44"/>
      <c r="E634" s="46"/>
      <c r="G634" s="44"/>
      <c r="H634" s="44"/>
    </row>
    <row r="635" spans="2:8" ht="15.5">
      <c r="B635" s="44"/>
      <c r="C635" s="44"/>
      <c r="D635" s="44"/>
      <c r="E635" s="46"/>
      <c r="G635" s="44"/>
      <c r="H635" s="44"/>
    </row>
    <row r="636" spans="2:8" ht="15.5">
      <c r="B636" s="44"/>
      <c r="C636" s="44"/>
      <c r="D636" s="44"/>
      <c r="E636" s="46"/>
      <c r="G636" s="44"/>
      <c r="H636" s="44"/>
    </row>
    <row r="637" spans="2:8" ht="15.5">
      <c r="B637" s="44"/>
      <c r="C637" s="44"/>
      <c r="D637" s="44"/>
      <c r="E637" s="46"/>
      <c r="G637" s="44"/>
      <c r="H637" s="44"/>
    </row>
    <row r="638" spans="2:8" ht="15.5">
      <c r="B638" s="44"/>
      <c r="C638" s="44"/>
      <c r="D638" s="44"/>
      <c r="E638" s="46"/>
      <c r="G638" s="44"/>
      <c r="H638" s="44"/>
    </row>
    <row r="639" spans="2:8" ht="15.5">
      <c r="B639" s="44"/>
      <c r="C639" s="44"/>
      <c r="D639" s="44"/>
      <c r="E639" s="46"/>
      <c r="G639" s="44"/>
      <c r="H639" s="44"/>
    </row>
    <row r="640" spans="2:8" ht="15.5">
      <c r="B640" s="44"/>
      <c r="C640" s="44"/>
      <c r="D640" s="44"/>
      <c r="E640" s="46"/>
      <c r="G640" s="44"/>
      <c r="H640" s="44"/>
    </row>
    <row r="641" spans="2:8" ht="15.5">
      <c r="B641" s="44"/>
      <c r="C641" s="44"/>
      <c r="D641" s="44"/>
      <c r="E641" s="46"/>
      <c r="G641" s="44"/>
      <c r="H641" s="44"/>
    </row>
    <row r="642" spans="2:8" ht="15.5">
      <c r="B642" s="44"/>
      <c r="C642" s="44"/>
      <c r="D642" s="44"/>
      <c r="E642" s="46"/>
      <c r="G642" s="44"/>
      <c r="H642" s="44"/>
    </row>
    <row r="643" spans="2:8" ht="15.5">
      <c r="B643" s="44"/>
      <c r="C643" s="44"/>
      <c r="D643" s="44"/>
      <c r="E643" s="46"/>
      <c r="G643" s="44"/>
      <c r="H643" s="44"/>
    </row>
    <row r="644" spans="2:8" ht="15.5">
      <c r="B644" s="44"/>
      <c r="C644" s="44"/>
      <c r="D644" s="44"/>
      <c r="E644" s="46"/>
      <c r="G644" s="44"/>
      <c r="H644" s="44"/>
    </row>
    <row r="645" spans="2:8" ht="15.5">
      <c r="B645" s="44"/>
      <c r="C645" s="44"/>
      <c r="D645" s="44"/>
      <c r="E645" s="46"/>
      <c r="G645" s="44"/>
      <c r="H645" s="44"/>
    </row>
    <row r="646" spans="2:8" ht="15.5">
      <c r="B646" s="44"/>
      <c r="C646" s="44"/>
      <c r="D646" s="44"/>
      <c r="E646" s="46"/>
      <c r="G646" s="44"/>
      <c r="H646" s="44"/>
    </row>
    <row r="647" spans="2:8" ht="15.5">
      <c r="B647" s="44"/>
      <c r="C647" s="44"/>
      <c r="D647" s="44"/>
      <c r="E647" s="46"/>
      <c r="G647" s="44"/>
      <c r="H647" s="44"/>
    </row>
    <row r="648" spans="2:8" ht="15.5">
      <c r="B648" s="44"/>
      <c r="C648" s="44"/>
      <c r="D648" s="44"/>
      <c r="E648" s="46"/>
      <c r="G648" s="44"/>
      <c r="H648" s="44"/>
    </row>
    <row r="649" spans="2:8" ht="15.5">
      <c r="B649" s="44"/>
      <c r="C649" s="44"/>
      <c r="D649" s="44"/>
      <c r="E649" s="46"/>
      <c r="G649" s="44"/>
      <c r="H649" s="44"/>
    </row>
    <row r="650" spans="2:8" ht="15.5">
      <c r="B650" s="44"/>
      <c r="C650" s="44"/>
      <c r="D650" s="44"/>
      <c r="E650" s="46"/>
      <c r="G650" s="44"/>
      <c r="H650" s="44"/>
    </row>
    <row r="651" spans="2:8" ht="15.5">
      <c r="B651" s="44"/>
      <c r="C651" s="44"/>
      <c r="D651" s="44"/>
      <c r="E651" s="46"/>
      <c r="G651" s="44"/>
      <c r="H651" s="44"/>
    </row>
    <row r="652" spans="2:8" ht="15.5">
      <c r="B652" s="44"/>
      <c r="C652" s="44"/>
      <c r="D652" s="44"/>
      <c r="E652" s="46"/>
      <c r="G652" s="44"/>
      <c r="H652" s="44"/>
    </row>
    <row r="653" spans="2:8" ht="15.5">
      <c r="B653" s="44"/>
      <c r="C653" s="44"/>
      <c r="D653" s="44"/>
      <c r="E653" s="46"/>
      <c r="G653" s="44"/>
      <c r="H653" s="44"/>
    </row>
    <row r="654" spans="2:8" ht="15.5">
      <c r="B654" s="44"/>
      <c r="C654" s="44"/>
      <c r="D654" s="44"/>
      <c r="E654" s="46"/>
      <c r="G654" s="44"/>
      <c r="H654" s="44"/>
    </row>
    <row r="655" spans="2:8" ht="15.5">
      <c r="B655" s="44"/>
      <c r="C655" s="44"/>
      <c r="D655" s="44"/>
      <c r="E655" s="46"/>
      <c r="G655" s="44"/>
      <c r="H655" s="44"/>
    </row>
    <row r="656" spans="2:8" ht="15.5">
      <c r="B656" s="44"/>
      <c r="C656" s="44"/>
      <c r="D656" s="44"/>
      <c r="E656" s="46"/>
      <c r="G656" s="44"/>
      <c r="H656" s="44"/>
    </row>
    <row r="657" spans="2:8" ht="15.5">
      <c r="B657" s="44"/>
      <c r="C657" s="44"/>
      <c r="D657" s="44"/>
      <c r="E657" s="46"/>
      <c r="G657" s="44"/>
      <c r="H657" s="44"/>
    </row>
    <row r="658" spans="2:8" ht="15.5">
      <c r="B658" s="44"/>
      <c r="C658" s="44"/>
      <c r="D658" s="44"/>
      <c r="E658" s="46"/>
      <c r="G658" s="44"/>
      <c r="H658" s="44"/>
    </row>
    <row r="659" spans="2:8" ht="15.5">
      <c r="B659" s="44"/>
      <c r="C659" s="44"/>
      <c r="D659" s="44"/>
      <c r="E659" s="46"/>
      <c r="G659" s="44"/>
      <c r="H659" s="44"/>
    </row>
    <row r="660" spans="2:8" ht="15.5">
      <c r="B660" s="44"/>
      <c r="C660" s="44"/>
      <c r="D660" s="44"/>
      <c r="E660" s="46"/>
      <c r="G660" s="44"/>
      <c r="H660" s="44"/>
    </row>
    <row r="661" spans="2:8" ht="15.5">
      <c r="B661" s="44"/>
      <c r="C661" s="44"/>
      <c r="D661" s="44"/>
      <c r="E661" s="46"/>
      <c r="G661" s="44"/>
      <c r="H661" s="44"/>
    </row>
    <row r="662" spans="2:8" ht="15.5">
      <c r="B662" s="44"/>
      <c r="C662" s="44"/>
      <c r="D662" s="44"/>
      <c r="E662" s="46"/>
      <c r="G662" s="44"/>
      <c r="H662" s="44"/>
    </row>
    <row r="663" spans="2:8" ht="15.5">
      <c r="B663" s="44"/>
      <c r="C663" s="44"/>
      <c r="D663" s="44"/>
      <c r="E663" s="46"/>
      <c r="G663" s="44"/>
      <c r="H663" s="44"/>
    </row>
    <row r="664" spans="2:8" ht="15.5">
      <c r="B664" s="44"/>
      <c r="C664" s="44"/>
      <c r="D664" s="44"/>
      <c r="E664" s="46"/>
      <c r="G664" s="44"/>
      <c r="H664" s="44"/>
    </row>
    <row r="665" spans="2:8" ht="15.5">
      <c r="B665" s="44"/>
      <c r="C665" s="44"/>
      <c r="D665" s="44"/>
      <c r="E665" s="46"/>
      <c r="G665" s="44"/>
      <c r="H665" s="44"/>
    </row>
    <row r="666" spans="2:8" ht="15.5">
      <c r="B666" s="44"/>
      <c r="C666" s="44"/>
      <c r="D666" s="44"/>
      <c r="E666" s="46"/>
      <c r="G666" s="44"/>
      <c r="H666" s="44"/>
    </row>
    <row r="667" spans="2:8" ht="15.5">
      <c r="B667" s="44"/>
      <c r="C667" s="44"/>
      <c r="D667" s="44"/>
      <c r="E667" s="46"/>
      <c r="G667" s="44"/>
      <c r="H667" s="44"/>
    </row>
    <row r="668" spans="2:8" ht="15.5">
      <c r="B668" s="44"/>
      <c r="C668" s="44"/>
      <c r="D668" s="44"/>
      <c r="E668" s="46"/>
      <c r="G668" s="44"/>
      <c r="H668" s="44"/>
    </row>
    <row r="669" spans="2:8" ht="15.5">
      <c r="B669" s="44"/>
      <c r="C669" s="44"/>
      <c r="D669" s="44"/>
      <c r="E669" s="46"/>
      <c r="G669" s="44"/>
      <c r="H669" s="44"/>
    </row>
    <row r="670" spans="2:8" ht="15.5">
      <c r="B670" s="44"/>
      <c r="C670" s="44"/>
      <c r="D670" s="44"/>
      <c r="E670" s="46"/>
      <c r="G670" s="44"/>
      <c r="H670" s="44"/>
    </row>
    <row r="671" spans="2:8" ht="15.5">
      <c r="B671" s="44"/>
      <c r="C671" s="44"/>
      <c r="D671" s="44"/>
      <c r="E671" s="46"/>
      <c r="G671" s="44"/>
      <c r="H671" s="44"/>
    </row>
    <row r="672" spans="2:8" ht="15.5">
      <c r="B672" s="44"/>
      <c r="C672" s="44"/>
      <c r="D672" s="44"/>
      <c r="E672" s="46"/>
      <c r="G672" s="44"/>
      <c r="H672" s="44"/>
    </row>
    <row r="673" spans="2:8" ht="15.5">
      <c r="B673" s="44"/>
      <c r="C673" s="44"/>
      <c r="D673" s="44"/>
      <c r="E673" s="46"/>
      <c r="G673" s="44"/>
      <c r="H673" s="44"/>
    </row>
    <row r="674" spans="2:8" ht="15.5">
      <c r="B674" s="44"/>
      <c r="C674" s="44"/>
      <c r="D674" s="44"/>
      <c r="E674" s="46"/>
      <c r="G674" s="44"/>
      <c r="H674" s="44"/>
    </row>
    <row r="675" spans="2:8" ht="15.5">
      <c r="B675" s="44"/>
      <c r="C675" s="44"/>
      <c r="D675" s="44"/>
      <c r="E675" s="46"/>
      <c r="G675" s="44"/>
      <c r="H675" s="44"/>
    </row>
    <row r="676" spans="2:8" ht="15.5">
      <c r="B676" s="44"/>
      <c r="C676" s="44"/>
      <c r="D676" s="44"/>
      <c r="E676" s="46"/>
      <c r="G676" s="44"/>
      <c r="H676" s="44"/>
    </row>
    <row r="677" spans="2:8" ht="15.5">
      <c r="B677" s="44"/>
      <c r="C677" s="44"/>
      <c r="D677" s="44"/>
      <c r="E677" s="46"/>
      <c r="G677" s="44"/>
      <c r="H677" s="44"/>
    </row>
    <row r="678" spans="2:8" ht="15.5">
      <c r="B678" s="44"/>
      <c r="C678" s="44"/>
      <c r="D678" s="44"/>
      <c r="E678" s="46"/>
      <c r="G678" s="44"/>
      <c r="H678" s="44"/>
    </row>
    <row r="679" spans="2:8" ht="15.5">
      <c r="B679" s="44"/>
      <c r="C679" s="44"/>
      <c r="D679" s="44"/>
      <c r="E679" s="46"/>
      <c r="G679" s="44"/>
      <c r="H679" s="44"/>
    </row>
    <row r="680" spans="2:8" ht="15.5">
      <c r="B680" s="44"/>
      <c r="C680" s="44"/>
      <c r="D680" s="44"/>
      <c r="E680" s="46"/>
      <c r="G680" s="44"/>
      <c r="H680" s="44"/>
    </row>
    <row r="681" spans="2:8" ht="15.5">
      <c r="B681" s="44"/>
      <c r="C681" s="44"/>
      <c r="D681" s="44"/>
      <c r="E681" s="46"/>
      <c r="G681" s="44"/>
      <c r="H681" s="44"/>
    </row>
    <row r="682" spans="2:8" ht="15.5">
      <c r="B682" s="44"/>
      <c r="C682" s="44"/>
      <c r="D682" s="44"/>
      <c r="E682" s="46"/>
      <c r="G682" s="44"/>
      <c r="H682" s="44"/>
    </row>
    <row r="683" spans="2:8" ht="15.5">
      <c r="B683" s="44"/>
      <c r="C683" s="44"/>
      <c r="D683" s="44"/>
      <c r="E683" s="46"/>
      <c r="G683" s="44"/>
      <c r="H683" s="44"/>
    </row>
    <row r="684" spans="2:8" ht="15.5">
      <c r="B684" s="44"/>
      <c r="C684" s="44"/>
      <c r="D684" s="44"/>
      <c r="E684" s="46"/>
      <c r="G684" s="44"/>
      <c r="H684" s="44"/>
    </row>
    <row r="685" spans="2:8" ht="15.5">
      <c r="B685" s="44"/>
      <c r="C685" s="44"/>
      <c r="D685" s="44"/>
      <c r="E685" s="46"/>
      <c r="G685" s="44"/>
      <c r="H685" s="44"/>
    </row>
    <row r="686" spans="2:8" ht="15.5">
      <c r="B686" s="44"/>
      <c r="C686" s="44"/>
      <c r="D686" s="44"/>
      <c r="E686" s="46"/>
      <c r="G686" s="44"/>
      <c r="H686" s="44"/>
    </row>
    <row r="687" spans="2:8" ht="15.5">
      <c r="B687" s="44"/>
      <c r="C687" s="44"/>
      <c r="D687" s="44"/>
      <c r="E687" s="46"/>
      <c r="G687" s="44"/>
      <c r="H687" s="44"/>
    </row>
    <row r="688" spans="2:8" ht="15.5">
      <c r="B688" s="44"/>
      <c r="C688" s="44"/>
      <c r="D688" s="44"/>
      <c r="E688" s="46"/>
      <c r="G688" s="44"/>
      <c r="H688" s="44"/>
    </row>
    <row r="689" spans="2:8" ht="15.5">
      <c r="B689" s="44"/>
      <c r="C689" s="44"/>
      <c r="D689" s="44"/>
      <c r="E689" s="46"/>
      <c r="G689" s="44"/>
      <c r="H689" s="44"/>
    </row>
    <row r="690" spans="2:8" ht="15.5">
      <c r="B690" s="44"/>
      <c r="C690" s="44"/>
      <c r="D690" s="44"/>
      <c r="E690" s="46"/>
      <c r="G690" s="44"/>
      <c r="H690" s="44"/>
    </row>
    <row r="691" spans="2:8" ht="15.5">
      <c r="B691" s="44"/>
      <c r="C691" s="44"/>
      <c r="D691" s="44"/>
      <c r="E691" s="46"/>
      <c r="G691" s="44"/>
      <c r="H691" s="44"/>
    </row>
    <row r="692" spans="2:8" ht="15.5">
      <c r="B692" s="44"/>
      <c r="C692" s="44"/>
      <c r="D692" s="44"/>
      <c r="E692" s="46"/>
      <c r="G692" s="44"/>
      <c r="H692" s="44"/>
    </row>
    <row r="693" spans="2:8" ht="15.5">
      <c r="B693" s="44"/>
      <c r="C693" s="44"/>
      <c r="D693" s="44"/>
      <c r="E693" s="46"/>
      <c r="G693" s="44"/>
      <c r="H693" s="44"/>
    </row>
    <row r="694" spans="2:8" ht="15.5">
      <c r="B694" s="44"/>
      <c r="C694" s="44"/>
      <c r="D694" s="44"/>
      <c r="E694" s="46"/>
      <c r="G694" s="44"/>
      <c r="H694" s="44"/>
    </row>
    <row r="695" spans="2:8" ht="15.5">
      <c r="B695" s="44"/>
      <c r="C695" s="44"/>
      <c r="D695" s="44"/>
      <c r="E695" s="46"/>
      <c r="G695" s="44"/>
      <c r="H695" s="44"/>
    </row>
    <row r="696" spans="2:8" ht="15.5">
      <c r="B696" s="44"/>
      <c r="C696" s="44"/>
      <c r="D696" s="44"/>
      <c r="E696" s="46"/>
      <c r="G696" s="44"/>
      <c r="H696" s="44"/>
    </row>
    <row r="697" spans="2:8" ht="15.5">
      <c r="B697" s="44"/>
      <c r="C697" s="44"/>
      <c r="D697" s="44"/>
      <c r="E697" s="46"/>
      <c r="G697" s="44"/>
      <c r="H697" s="44"/>
    </row>
    <row r="698" spans="2:8" ht="15.5">
      <c r="B698" s="44"/>
      <c r="C698" s="44"/>
      <c r="D698" s="44"/>
      <c r="E698" s="46"/>
      <c r="G698" s="44"/>
      <c r="H698" s="44"/>
    </row>
    <row r="699" spans="2:8" ht="15.5">
      <c r="B699" s="44"/>
      <c r="C699" s="44"/>
      <c r="D699" s="44"/>
      <c r="E699" s="46"/>
      <c r="G699" s="44"/>
      <c r="H699" s="44"/>
    </row>
    <row r="700" spans="2:8" ht="15.5">
      <c r="B700" s="44"/>
      <c r="C700" s="44"/>
      <c r="D700" s="44"/>
      <c r="E700" s="46"/>
      <c r="G700" s="44"/>
      <c r="H700" s="44"/>
    </row>
    <row r="701" spans="2:8" ht="15.5">
      <c r="B701" s="44"/>
      <c r="C701" s="44"/>
      <c r="D701" s="44"/>
      <c r="E701" s="46"/>
      <c r="G701" s="44"/>
      <c r="H701" s="44"/>
    </row>
    <row r="702" spans="2:8" ht="15.5">
      <c r="B702" s="44"/>
      <c r="C702" s="44"/>
      <c r="D702" s="44"/>
      <c r="E702" s="46"/>
      <c r="G702" s="44"/>
      <c r="H702" s="44"/>
    </row>
    <row r="703" spans="2:8" ht="15.5">
      <c r="B703" s="44"/>
      <c r="C703" s="44"/>
      <c r="D703" s="44"/>
      <c r="E703" s="46"/>
      <c r="G703" s="44"/>
      <c r="H703" s="44"/>
    </row>
    <row r="704" spans="2:8" ht="15.5">
      <c r="B704" s="44"/>
      <c r="C704" s="44"/>
      <c r="D704" s="44"/>
      <c r="E704" s="46"/>
      <c r="G704" s="44"/>
      <c r="H704" s="44"/>
    </row>
    <row r="705" spans="2:8" ht="15.5">
      <c r="B705" s="44"/>
      <c r="C705" s="44"/>
      <c r="D705" s="44"/>
      <c r="E705" s="46"/>
      <c r="G705" s="44"/>
      <c r="H705" s="44"/>
    </row>
    <row r="706" spans="2:8" ht="15.5">
      <c r="B706" s="44"/>
      <c r="C706" s="44"/>
      <c r="D706" s="44"/>
      <c r="E706" s="46"/>
      <c r="G706" s="44"/>
      <c r="H706" s="44"/>
    </row>
    <row r="707" spans="2:8" ht="15.5">
      <c r="B707" s="44"/>
      <c r="C707" s="44"/>
      <c r="D707" s="44"/>
      <c r="E707" s="46"/>
      <c r="G707" s="44"/>
      <c r="H707" s="44"/>
    </row>
    <row r="708" spans="2:8" ht="15.5">
      <c r="B708" s="44"/>
      <c r="C708" s="44"/>
      <c r="D708" s="44"/>
      <c r="E708" s="46"/>
      <c r="G708" s="44"/>
      <c r="H708" s="44"/>
    </row>
    <row r="709" spans="2:8" ht="15.5">
      <c r="B709" s="44"/>
      <c r="C709" s="44"/>
      <c r="D709" s="44"/>
      <c r="E709" s="46"/>
      <c r="G709" s="44"/>
      <c r="H709" s="44"/>
    </row>
    <row r="710" spans="2:8" ht="15.5">
      <c r="B710" s="44"/>
      <c r="C710" s="44"/>
      <c r="D710" s="44"/>
      <c r="E710" s="46"/>
      <c r="G710" s="44"/>
      <c r="H710" s="44"/>
    </row>
    <row r="711" spans="2:8" ht="15.5">
      <c r="B711" s="44"/>
      <c r="C711" s="44"/>
      <c r="D711" s="44"/>
      <c r="E711" s="46"/>
      <c r="G711" s="44"/>
      <c r="H711" s="44"/>
    </row>
    <row r="712" spans="2:8" ht="15.5">
      <c r="B712" s="44"/>
      <c r="C712" s="44"/>
      <c r="D712" s="44"/>
      <c r="E712" s="46"/>
      <c r="G712" s="44"/>
      <c r="H712" s="44"/>
    </row>
    <row r="713" spans="2:8" ht="15.5">
      <c r="B713" s="44"/>
      <c r="C713" s="44"/>
      <c r="D713" s="44"/>
      <c r="E713" s="46"/>
      <c r="G713" s="44"/>
      <c r="H713" s="44"/>
    </row>
    <row r="714" spans="2:8" ht="15.5">
      <c r="B714" s="44"/>
      <c r="C714" s="44"/>
      <c r="D714" s="44"/>
      <c r="E714" s="46"/>
      <c r="G714" s="44"/>
      <c r="H714" s="44"/>
    </row>
    <row r="715" spans="2:8" ht="15.5">
      <c r="B715" s="44"/>
      <c r="C715" s="44"/>
      <c r="D715" s="44"/>
      <c r="E715" s="46"/>
      <c r="G715" s="44"/>
      <c r="H715" s="44"/>
    </row>
    <row r="716" spans="2:8" ht="15.5">
      <c r="B716" s="44"/>
      <c r="C716" s="44"/>
      <c r="D716" s="44"/>
      <c r="E716" s="46"/>
      <c r="G716" s="44"/>
      <c r="H716" s="44"/>
    </row>
    <row r="717" spans="2:8" ht="15.5">
      <c r="B717" s="44"/>
      <c r="C717" s="44"/>
      <c r="D717" s="44"/>
      <c r="E717" s="46"/>
      <c r="G717" s="44"/>
      <c r="H717" s="44"/>
    </row>
    <row r="718" spans="2:8" ht="15.5">
      <c r="B718" s="44"/>
      <c r="C718" s="44"/>
      <c r="D718" s="44"/>
      <c r="E718" s="46"/>
      <c r="G718" s="44"/>
      <c r="H718" s="44"/>
    </row>
    <row r="719" spans="2:8" ht="15.5">
      <c r="B719" s="44"/>
      <c r="C719" s="44"/>
      <c r="D719" s="44"/>
      <c r="E719" s="46"/>
      <c r="G719" s="44"/>
      <c r="H719" s="44"/>
    </row>
    <row r="720" spans="2:8" ht="15.5">
      <c r="B720" s="44"/>
      <c r="C720" s="44"/>
      <c r="D720" s="44"/>
      <c r="E720" s="46"/>
      <c r="G720" s="44"/>
      <c r="H720" s="44"/>
    </row>
    <row r="721" spans="2:8" ht="15.5">
      <c r="B721" s="44"/>
      <c r="C721" s="44"/>
      <c r="D721" s="44"/>
      <c r="E721" s="46"/>
      <c r="G721" s="44"/>
      <c r="H721" s="44"/>
    </row>
    <row r="722" spans="2:8" ht="15.5">
      <c r="B722" s="44"/>
      <c r="C722" s="44"/>
      <c r="D722" s="44"/>
      <c r="E722" s="46"/>
      <c r="G722" s="44"/>
      <c r="H722" s="44"/>
    </row>
    <row r="723" spans="2:8" ht="15.5">
      <c r="B723" s="44"/>
      <c r="C723" s="44"/>
      <c r="D723" s="44"/>
      <c r="E723" s="46"/>
      <c r="G723" s="44"/>
      <c r="H723" s="44"/>
    </row>
    <row r="724" spans="2:8" ht="15.5">
      <c r="B724" s="44"/>
      <c r="C724" s="44"/>
      <c r="D724" s="44"/>
      <c r="E724" s="46"/>
      <c r="G724" s="44"/>
      <c r="H724" s="44"/>
    </row>
    <row r="725" spans="2:8" ht="15.5">
      <c r="B725" s="44"/>
      <c r="C725" s="44"/>
      <c r="D725" s="44"/>
      <c r="E725" s="46"/>
      <c r="G725" s="44"/>
      <c r="H725" s="44"/>
    </row>
    <row r="726" spans="2:8" ht="15.5">
      <c r="B726" s="44"/>
      <c r="C726" s="44"/>
      <c r="D726" s="44"/>
      <c r="E726" s="46"/>
      <c r="G726" s="44"/>
      <c r="H726" s="44"/>
    </row>
    <row r="727" spans="2:8" ht="15.5">
      <c r="B727" s="44"/>
      <c r="C727" s="44"/>
      <c r="D727" s="44"/>
      <c r="E727" s="46"/>
      <c r="G727" s="44"/>
      <c r="H727" s="44"/>
    </row>
    <row r="728" spans="2:8" ht="15.5">
      <c r="B728" s="44"/>
      <c r="C728" s="44"/>
      <c r="D728" s="44"/>
      <c r="E728" s="46"/>
      <c r="G728" s="44"/>
      <c r="H728" s="44"/>
    </row>
    <row r="729" spans="2:8" ht="15.5">
      <c r="B729" s="44"/>
      <c r="C729" s="44"/>
      <c r="D729" s="44"/>
      <c r="E729" s="46"/>
      <c r="G729" s="44"/>
      <c r="H729" s="44"/>
    </row>
    <row r="730" spans="2:8" ht="15.5">
      <c r="B730" s="44"/>
      <c r="C730" s="44"/>
      <c r="D730" s="44"/>
      <c r="E730" s="46"/>
      <c r="G730" s="44"/>
      <c r="H730" s="44"/>
    </row>
    <row r="731" spans="2:8" ht="15.5">
      <c r="B731" s="44"/>
      <c r="C731" s="44"/>
      <c r="D731" s="44"/>
      <c r="E731" s="46"/>
      <c r="G731" s="44"/>
      <c r="H731" s="44"/>
    </row>
    <row r="732" spans="2:8" ht="15.5">
      <c r="B732" s="44"/>
      <c r="C732" s="44"/>
      <c r="D732" s="44"/>
      <c r="E732" s="46"/>
      <c r="G732" s="44"/>
      <c r="H732" s="44"/>
    </row>
    <row r="733" spans="2:8" ht="15.5">
      <c r="B733" s="44"/>
      <c r="C733" s="44"/>
      <c r="D733" s="44"/>
      <c r="E733" s="46"/>
      <c r="G733" s="44"/>
      <c r="H733" s="44"/>
    </row>
    <row r="734" spans="2:8" ht="15.5">
      <c r="B734" s="44"/>
      <c r="C734" s="44"/>
      <c r="D734" s="44"/>
      <c r="E734" s="46"/>
      <c r="G734" s="44"/>
      <c r="H734" s="44"/>
    </row>
    <row r="735" spans="2:8" ht="15.5">
      <c r="B735" s="44"/>
      <c r="C735" s="44"/>
      <c r="D735" s="44"/>
      <c r="E735" s="46"/>
      <c r="G735" s="44"/>
      <c r="H735" s="44"/>
    </row>
    <row r="736" spans="2:8" ht="15.5">
      <c r="B736" s="44"/>
      <c r="C736" s="44"/>
      <c r="D736" s="44"/>
      <c r="E736" s="46"/>
      <c r="G736" s="44"/>
      <c r="H736" s="44"/>
    </row>
    <row r="737" spans="2:8" ht="15.5">
      <c r="B737" s="44"/>
      <c r="C737" s="44"/>
      <c r="D737" s="44"/>
      <c r="E737" s="46"/>
      <c r="G737" s="44"/>
      <c r="H737" s="44"/>
    </row>
    <row r="738" spans="2:8" ht="15.5">
      <c r="B738" s="44"/>
      <c r="C738" s="44"/>
      <c r="D738" s="44"/>
      <c r="E738" s="46"/>
      <c r="G738" s="44"/>
      <c r="H738" s="44"/>
    </row>
    <row r="739" spans="2:8" ht="15.5">
      <c r="B739" s="44"/>
      <c r="C739" s="44"/>
      <c r="D739" s="44"/>
      <c r="E739" s="46"/>
      <c r="G739" s="44"/>
      <c r="H739" s="44"/>
    </row>
    <row r="740" spans="2:8" ht="15.5">
      <c r="B740" s="44"/>
      <c r="C740" s="44"/>
      <c r="D740" s="44"/>
      <c r="E740" s="46"/>
      <c r="G740" s="44"/>
      <c r="H740" s="44"/>
    </row>
    <row r="741" spans="2:8" ht="15.5">
      <c r="B741" s="44"/>
      <c r="C741" s="44"/>
      <c r="D741" s="44"/>
      <c r="E741" s="46"/>
      <c r="G741" s="44"/>
      <c r="H741" s="44"/>
    </row>
    <row r="742" spans="2:8" ht="15.5">
      <c r="B742" s="44"/>
      <c r="C742" s="44"/>
      <c r="D742" s="44"/>
      <c r="E742" s="46"/>
      <c r="G742" s="44"/>
      <c r="H742" s="44"/>
    </row>
    <row r="743" spans="2:8" ht="15.5">
      <c r="B743" s="44"/>
      <c r="C743" s="44"/>
      <c r="D743" s="44"/>
      <c r="E743" s="46"/>
      <c r="G743" s="44"/>
      <c r="H743" s="44"/>
    </row>
    <row r="744" spans="2:8" ht="15.5">
      <c r="B744" s="44"/>
      <c r="C744" s="44"/>
      <c r="D744" s="44"/>
      <c r="E744" s="46"/>
      <c r="G744" s="44"/>
      <c r="H744" s="44"/>
    </row>
    <row r="745" spans="2:8" ht="15.5">
      <c r="B745" s="44"/>
      <c r="C745" s="44"/>
      <c r="D745" s="44"/>
      <c r="E745" s="46"/>
      <c r="G745" s="44"/>
      <c r="H745" s="44"/>
    </row>
    <row r="746" spans="2:8" ht="15.5">
      <c r="B746" s="44"/>
      <c r="C746" s="44"/>
      <c r="D746" s="44"/>
      <c r="E746" s="46"/>
      <c r="G746" s="44"/>
      <c r="H746" s="44"/>
    </row>
    <row r="747" spans="2:8" ht="15.5">
      <c r="B747" s="44"/>
      <c r="C747" s="44"/>
      <c r="D747" s="44"/>
      <c r="E747" s="46"/>
      <c r="G747" s="44"/>
      <c r="H747" s="44"/>
    </row>
    <row r="748" spans="2:8" ht="15.5">
      <c r="B748" s="44"/>
      <c r="C748" s="44"/>
      <c r="D748" s="44"/>
      <c r="E748" s="46"/>
      <c r="G748" s="44"/>
      <c r="H748" s="44"/>
    </row>
    <row r="749" spans="2:8" ht="15.5">
      <c r="B749" s="44"/>
      <c r="C749" s="44"/>
      <c r="D749" s="44"/>
      <c r="E749" s="46"/>
      <c r="G749" s="44"/>
      <c r="H749" s="44"/>
    </row>
    <row r="750" spans="2:8" ht="15.5">
      <c r="B750" s="44"/>
      <c r="C750" s="44"/>
      <c r="D750" s="44"/>
      <c r="E750" s="46"/>
      <c r="G750" s="44"/>
      <c r="H750" s="44"/>
    </row>
    <row r="751" spans="2:8" ht="15.5">
      <c r="B751" s="44"/>
      <c r="C751" s="44"/>
      <c r="D751" s="44"/>
      <c r="E751" s="46"/>
      <c r="G751" s="44"/>
      <c r="H751" s="44"/>
    </row>
    <row r="752" spans="2:8" ht="15.5">
      <c r="B752" s="44"/>
      <c r="C752" s="44"/>
      <c r="D752" s="44"/>
      <c r="E752" s="46"/>
      <c r="G752" s="44"/>
      <c r="H752" s="44"/>
    </row>
    <row r="753" spans="2:8" ht="15.5">
      <c r="B753" s="44"/>
      <c r="C753" s="44"/>
      <c r="D753" s="44"/>
      <c r="E753" s="46"/>
      <c r="G753" s="44"/>
      <c r="H753" s="44"/>
    </row>
    <row r="754" spans="2:8" ht="15.5">
      <c r="B754" s="44"/>
      <c r="C754" s="44"/>
      <c r="D754" s="44"/>
      <c r="E754" s="46"/>
      <c r="G754" s="44"/>
      <c r="H754" s="44"/>
    </row>
    <row r="755" spans="2:8" ht="15.5">
      <c r="B755" s="44"/>
      <c r="C755" s="44"/>
      <c r="D755" s="44"/>
      <c r="E755" s="46"/>
      <c r="G755" s="44"/>
      <c r="H755" s="44"/>
    </row>
    <row r="756" spans="2:8" ht="15.5">
      <c r="B756" s="44"/>
      <c r="C756" s="44"/>
      <c r="D756" s="44"/>
      <c r="E756" s="46"/>
      <c r="G756" s="44"/>
      <c r="H756" s="44"/>
    </row>
    <row r="757" spans="2:8" ht="15.5">
      <c r="B757" s="44"/>
      <c r="C757" s="44"/>
      <c r="D757" s="44"/>
      <c r="E757" s="46"/>
      <c r="G757" s="44"/>
      <c r="H757" s="44"/>
    </row>
    <row r="758" spans="2:8" ht="15.5">
      <c r="B758" s="44"/>
      <c r="C758" s="44"/>
      <c r="D758" s="44"/>
      <c r="E758" s="46"/>
      <c r="G758" s="44"/>
      <c r="H758" s="44"/>
    </row>
    <row r="759" spans="2:8" ht="15.5">
      <c r="B759" s="44"/>
      <c r="C759" s="44"/>
      <c r="D759" s="44"/>
      <c r="E759" s="46"/>
      <c r="G759" s="44"/>
      <c r="H759" s="44"/>
    </row>
    <row r="760" spans="2:8" ht="15.5">
      <c r="B760" s="44"/>
      <c r="C760" s="44"/>
      <c r="D760" s="44"/>
      <c r="E760" s="46"/>
      <c r="G760" s="44"/>
      <c r="H760" s="44"/>
    </row>
    <row r="761" spans="2:8" ht="15.5">
      <c r="B761" s="44"/>
      <c r="C761" s="44"/>
      <c r="D761" s="44"/>
      <c r="E761" s="46"/>
      <c r="G761" s="44"/>
      <c r="H761" s="44"/>
    </row>
    <row r="762" spans="2:8" ht="15.5">
      <c r="B762" s="44"/>
      <c r="C762" s="44"/>
      <c r="D762" s="44"/>
      <c r="E762" s="46"/>
      <c r="G762" s="44"/>
      <c r="H762" s="44"/>
    </row>
    <row r="763" spans="2:8" ht="15.5">
      <c r="B763" s="44"/>
      <c r="C763" s="44"/>
      <c r="D763" s="44"/>
      <c r="E763" s="46"/>
      <c r="G763" s="44"/>
      <c r="H763" s="44"/>
    </row>
    <row r="764" spans="2:8" ht="15.5">
      <c r="B764" s="44"/>
      <c r="C764" s="44"/>
      <c r="D764" s="44"/>
      <c r="E764" s="46"/>
      <c r="G764" s="44"/>
      <c r="H764" s="44"/>
    </row>
    <row r="765" spans="2:8" ht="15.5">
      <c r="B765" s="44"/>
      <c r="C765" s="44"/>
      <c r="D765" s="44"/>
      <c r="E765" s="46"/>
      <c r="G765" s="44"/>
      <c r="H765" s="44"/>
    </row>
    <row r="766" spans="2:8" ht="15.5">
      <c r="B766" s="44"/>
      <c r="C766" s="44"/>
      <c r="D766" s="44"/>
      <c r="E766" s="46"/>
      <c r="G766" s="44"/>
      <c r="H766" s="44"/>
    </row>
    <row r="767" spans="2:8" ht="15.5">
      <c r="B767" s="44"/>
      <c r="C767" s="44"/>
      <c r="D767" s="44"/>
      <c r="E767" s="46"/>
      <c r="G767" s="44"/>
      <c r="H767" s="44"/>
    </row>
    <row r="768" spans="2:8" ht="15.5">
      <c r="B768" s="44"/>
      <c r="C768" s="44"/>
      <c r="D768" s="44"/>
      <c r="E768" s="46"/>
      <c r="G768" s="44"/>
      <c r="H768" s="44"/>
    </row>
    <row r="769" spans="2:8" ht="15.5">
      <c r="B769" s="44"/>
      <c r="C769" s="44"/>
      <c r="D769" s="44"/>
      <c r="E769" s="46"/>
      <c r="G769" s="44"/>
      <c r="H769" s="44"/>
    </row>
    <row r="770" spans="2:8" ht="15.5">
      <c r="B770" s="44"/>
      <c r="C770" s="44"/>
      <c r="D770" s="44"/>
      <c r="E770" s="46"/>
      <c r="G770" s="44"/>
      <c r="H770" s="44"/>
    </row>
    <row r="771" spans="2:8" ht="15.5">
      <c r="B771" s="44"/>
      <c r="C771" s="44"/>
      <c r="D771" s="44"/>
      <c r="E771" s="46"/>
      <c r="G771" s="44"/>
      <c r="H771" s="44"/>
    </row>
    <row r="772" spans="2:8" ht="15.5">
      <c r="B772" s="44"/>
      <c r="C772" s="44"/>
      <c r="D772" s="44"/>
      <c r="E772" s="46"/>
      <c r="G772" s="44"/>
      <c r="H772" s="44"/>
    </row>
    <row r="773" spans="2:8" ht="15.5">
      <c r="B773" s="44"/>
      <c r="C773" s="44"/>
      <c r="D773" s="44"/>
      <c r="E773" s="46"/>
      <c r="G773" s="44"/>
      <c r="H773" s="44"/>
    </row>
    <row r="774" spans="2:8" ht="15.5">
      <c r="B774" s="44"/>
      <c r="C774" s="44"/>
      <c r="D774" s="44"/>
      <c r="E774" s="46"/>
      <c r="G774" s="44"/>
      <c r="H774" s="44"/>
    </row>
    <row r="775" spans="2:8" ht="15.5">
      <c r="B775" s="44"/>
      <c r="C775" s="44"/>
      <c r="D775" s="44"/>
      <c r="E775" s="46"/>
      <c r="G775" s="44"/>
      <c r="H775" s="44"/>
    </row>
    <row r="776" spans="2:8" ht="15.5">
      <c r="B776" s="44"/>
      <c r="C776" s="44"/>
      <c r="D776" s="44"/>
      <c r="E776" s="46"/>
      <c r="G776" s="44"/>
      <c r="H776" s="44"/>
    </row>
    <row r="777" spans="2:8" ht="15.5">
      <c r="B777" s="44"/>
      <c r="C777" s="44"/>
      <c r="D777" s="44"/>
      <c r="E777" s="46"/>
      <c r="G777" s="44"/>
      <c r="H777" s="44"/>
    </row>
    <row r="778" spans="2:8" ht="15.5">
      <c r="B778" s="44"/>
      <c r="C778" s="44"/>
      <c r="D778" s="44"/>
      <c r="E778" s="46"/>
      <c r="G778" s="44"/>
      <c r="H778" s="44"/>
    </row>
    <row r="779" spans="2:8" ht="15.5">
      <c r="B779" s="44"/>
      <c r="C779" s="44"/>
      <c r="D779" s="44"/>
      <c r="E779" s="46"/>
      <c r="G779" s="44"/>
      <c r="H779" s="44"/>
    </row>
    <row r="780" spans="2:8" ht="15.5">
      <c r="B780" s="44"/>
      <c r="C780" s="44"/>
      <c r="D780" s="44"/>
      <c r="E780" s="46"/>
      <c r="G780" s="44"/>
      <c r="H780" s="44"/>
    </row>
    <row r="781" spans="2:8" ht="15.5">
      <c r="B781" s="44"/>
      <c r="C781" s="44"/>
      <c r="D781" s="44"/>
      <c r="E781" s="46"/>
      <c r="G781" s="44"/>
      <c r="H781" s="44"/>
    </row>
    <row r="782" spans="2:8" ht="15.5">
      <c r="B782" s="44"/>
      <c r="C782" s="44"/>
      <c r="D782" s="44"/>
      <c r="E782" s="46"/>
      <c r="G782" s="44"/>
      <c r="H782" s="44"/>
    </row>
    <row r="783" spans="2:8" ht="15.5">
      <c r="B783" s="44"/>
      <c r="C783" s="44"/>
      <c r="D783" s="44"/>
      <c r="E783" s="46"/>
      <c r="G783" s="44"/>
      <c r="H783" s="44"/>
    </row>
    <row r="784" spans="2:8" ht="15.5">
      <c r="B784" s="44"/>
      <c r="C784" s="44"/>
      <c r="D784" s="44"/>
      <c r="E784" s="46"/>
      <c r="G784" s="44"/>
      <c r="H784" s="44"/>
    </row>
    <row r="785" spans="2:8" ht="15.5">
      <c r="B785" s="44"/>
      <c r="C785" s="44"/>
      <c r="D785" s="44"/>
      <c r="E785" s="46"/>
      <c r="G785" s="44"/>
      <c r="H785" s="44"/>
    </row>
    <row r="786" spans="2:8" ht="15.5">
      <c r="B786" s="44"/>
      <c r="C786" s="44"/>
      <c r="D786" s="44"/>
      <c r="E786" s="46"/>
      <c r="G786" s="44"/>
      <c r="H786" s="44"/>
    </row>
    <row r="787" spans="2:8" ht="15.5">
      <c r="B787" s="44"/>
      <c r="C787" s="44"/>
      <c r="D787" s="44"/>
      <c r="E787" s="46"/>
      <c r="G787" s="44"/>
      <c r="H787" s="44"/>
    </row>
    <row r="788" spans="2:8" ht="15.5">
      <c r="B788" s="44"/>
      <c r="C788" s="44"/>
      <c r="D788" s="44"/>
      <c r="E788" s="46"/>
      <c r="G788" s="44"/>
      <c r="H788" s="44"/>
    </row>
    <row r="789" spans="2:8" ht="15.5">
      <c r="B789" s="44"/>
      <c r="C789" s="44"/>
      <c r="D789" s="44"/>
      <c r="E789" s="46"/>
      <c r="G789" s="44"/>
      <c r="H789" s="44"/>
    </row>
    <row r="790" spans="2:8" ht="15.5">
      <c r="B790" s="44"/>
      <c r="C790" s="44"/>
      <c r="D790" s="44"/>
      <c r="E790" s="46"/>
      <c r="G790" s="44"/>
      <c r="H790" s="44"/>
    </row>
    <row r="791" spans="2:8" ht="15.5">
      <c r="B791" s="44"/>
      <c r="C791" s="44"/>
      <c r="D791" s="44"/>
      <c r="E791" s="46"/>
      <c r="G791" s="44"/>
      <c r="H791" s="44"/>
    </row>
    <row r="792" spans="2:8" ht="15.5">
      <c r="B792" s="44"/>
      <c r="C792" s="44"/>
      <c r="D792" s="44"/>
      <c r="E792" s="46"/>
      <c r="G792" s="44"/>
      <c r="H792" s="44"/>
    </row>
    <row r="793" spans="2:8" ht="15.5">
      <c r="B793" s="44"/>
      <c r="C793" s="44"/>
      <c r="D793" s="44"/>
      <c r="E793" s="46"/>
      <c r="G793" s="44"/>
      <c r="H793" s="44"/>
    </row>
    <row r="794" spans="2:8" ht="15.5">
      <c r="B794" s="44"/>
      <c r="C794" s="44"/>
      <c r="D794" s="44"/>
      <c r="E794" s="46"/>
      <c r="G794" s="44"/>
      <c r="H794" s="44"/>
    </row>
    <row r="795" spans="2:8" ht="15.5">
      <c r="B795" s="44"/>
      <c r="C795" s="44"/>
      <c r="D795" s="44"/>
      <c r="E795" s="46"/>
      <c r="G795" s="44"/>
      <c r="H795" s="44"/>
    </row>
    <row r="796" spans="2:8" ht="15.5">
      <c r="B796" s="44"/>
      <c r="C796" s="44"/>
      <c r="D796" s="44"/>
      <c r="E796" s="46"/>
      <c r="G796" s="44"/>
      <c r="H796" s="44"/>
    </row>
    <row r="797" spans="2:8" ht="15.5">
      <c r="B797" s="44"/>
      <c r="C797" s="44"/>
      <c r="D797" s="44"/>
      <c r="E797" s="46"/>
      <c r="G797" s="44"/>
      <c r="H797" s="44"/>
    </row>
    <row r="798" spans="2:8" ht="15.5">
      <c r="B798" s="44"/>
      <c r="C798" s="44"/>
      <c r="D798" s="44"/>
      <c r="E798" s="46"/>
      <c r="G798" s="44"/>
      <c r="H798" s="44"/>
    </row>
    <row r="799" spans="2:8" ht="15.5">
      <c r="B799" s="44"/>
      <c r="C799" s="44"/>
      <c r="D799" s="44"/>
      <c r="E799" s="46"/>
      <c r="G799" s="44"/>
      <c r="H799" s="44"/>
    </row>
    <row r="800" spans="2:8" ht="15.5">
      <c r="B800" s="44"/>
      <c r="C800" s="44"/>
      <c r="D800" s="44"/>
      <c r="E800" s="46"/>
      <c r="G800" s="44"/>
      <c r="H800" s="44"/>
    </row>
    <row r="801" spans="2:8" ht="15.5">
      <c r="B801" s="44"/>
      <c r="C801" s="44"/>
      <c r="D801" s="44"/>
      <c r="E801" s="46"/>
      <c r="G801" s="44"/>
      <c r="H801" s="44"/>
    </row>
    <row r="802" spans="2:8" ht="15.5">
      <c r="B802" s="44"/>
      <c r="C802" s="44"/>
      <c r="D802" s="44"/>
      <c r="E802" s="46"/>
      <c r="G802" s="44"/>
      <c r="H802" s="44"/>
    </row>
    <row r="803" spans="2:8" ht="15.5">
      <c r="B803" s="44"/>
      <c r="C803" s="44"/>
      <c r="D803" s="44"/>
      <c r="E803" s="46"/>
      <c r="G803" s="44"/>
      <c r="H803" s="44"/>
    </row>
    <row r="804" spans="2:8" ht="15.5">
      <c r="B804" s="44"/>
      <c r="C804" s="44"/>
      <c r="D804" s="44"/>
      <c r="E804" s="46"/>
      <c r="G804" s="44"/>
      <c r="H804" s="44"/>
    </row>
    <row r="805" spans="2:8" ht="15.5">
      <c r="B805" s="44"/>
      <c r="C805" s="44"/>
      <c r="D805" s="44"/>
      <c r="E805" s="46"/>
      <c r="G805" s="44"/>
      <c r="H805" s="44"/>
    </row>
    <row r="806" spans="2:8" ht="15.5">
      <c r="B806" s="44"/>
      <c r="C806" s="44"/>
      <c r="D806" s="44"/>
      <c r="E806" s="46"/>
      <c r="G806" s="44"/>
      <c r="H806" s="44"/>
    </row>
    <row r="807" spans="2:8" ht="15.5">
      <c r="B807" s="44"/>
      <c r="C807" s="44"/>
      <c r="D807" s="44"/>
      <c r="E807" s="46"/>
      <c r="G807" s="44"/>
      <c r="H807" s="44"/>
    </row>
    <row r="808" spans="2:8" ht="15.5">
      <c r="B808" s="44"/>
      <c r="C808" s="44"/>
      <c r="D808" s="44"/>
      <c r="E808" s="46"/>
      <c r="G808" s="44"/>
      <c r="H808" s="44"/>
    </row>
    <row r="809" spans="2:8" ht="15.5">
      <c r="B809" s="44"/>
      <c r="C809" s="44"/>
      <c r="D809" s="44"/>
      <c r="E809" s="46"/>
      <c r="G809" s="44"/>
      <c r="H809" s="44"/>
    </row>
    <row r="810" spans="2:8" ht="15.5">
      <c r="B810" s="44"/>
      <c r="C810" s="44"/>
      <c r="D810" s="44"/>
      <c r="E810" s="46"/>
      <c r="G810" s="44"/>
      <c r="H810" s="44"/>
    </row>
    <row r="811" spans="2:8" ht="15.5">
      <c r="B811" s="44"/>
      <c r="C811" s="44"/>
      <c r="D811" s="44"/>
      <c r="E811" s="46"/>
      <c r="G811" s="44"/>
      <c r="H811" s="44"/>
    </row>
    <row r="812" spans="2:8" ht="15.5">
      <c r="B812" s="44"/>
      <c r="C812" s="44"/>
      <c r="D812" s="44"/>
      <c r="E812" s="46"/>
      <c r="G812" s="44"/>
      <c r="H812" s="44"/>
    </row>
    <row r="813" spans="2:8" ht="15.5">
      <c r="B813" s="44"/>
      <c r="C813" s="44"/>
      <c r="D813" s="44"/>
      <c r="E813" s="46"/>
      <c r="G813" s="44"/>
      <c r="H813" s="44"/>
    </row>
    <row r="814" spans="2:8" ht="15.5">
      <c r="B814" s="44"/>
      <c r="C814" s="44"/>
      <c r="D814" s="44"/>
      <c r="E814" s="46"/>
      <c r="G814" s="44"/>
      <c r="H814" s="44"/>
    </row>
    <row r="815" spans="2:8" ht="15.5">
      <c r="B815" s="44"/>
      <c r="C815" s="44"/>
      <c r="D815" s="44"/>
      <c r="E815" s="46"/>
      <c r="G815" s="44"/>
      <c r="H815" s="44"/>
    </row>
    <row r="816" spans="2:8" ht="15.5">
      <c r="B816" s="44"/>
      <c r="C816" s="44"/>
      <c r="D816" s="44"/>
      <c r="E816" s="46"/>
      <c r="G816" s="44"/>
      <c r="H816" s="44"/>
    </row>
    <row r="817" spans="2:8" ht="15.5">
      <c r="B817" s="44"/>
      <c r="C817" s="44"/>
      <c r="D817" s="44"/>
      <c r="E817" s="46"/>
      <c r="G817" s="44"/>
      <c r="H817" s="44"/>
    </row>
    <row r="818" spans="2:8" ht="15.5">
      <c r="B818" s="44"/>
      <c r="C818" s="44"/>
      <c r="D818" s="44"/>
      <c r="E818" s="46"/>
      <c r="G818" s="44"/>
      <c r="H818" s="44"/>
    </row>
    <row r="819" spans="2:8" ht="15.5">
      <c r="B819" s="44"/>
      <c r="C819" s="44"/>
      <c r="D819" s="44"/>
      <c r="E819" s="46"/>
      <c r="G819" s="44"/>
      <c r="H819" s="44"/>
    </row>
    <row r="820" spans="2:8" ht="15.5">
      <c r="B820" s="44"/>
      <c r="C820" s="44"/>
      <c r="D820" s="44"/>
      <c r="E820" s="46"/>
      <c r="G820" s="44"/>
      <c r="H820" s="44"/>
    </row>
    <row r="821" spans="2:8" ht="15.5">
      <c r="B821" s="44"/>
      <c r="C821" s="44"/>
      <c r="D821" s="44"/>
      <c r="E821" s="46"/>
      <c r="G821" s="44"/>
      <c r="H821" s="44"/>
    </row>
    <row r="822" spans="2:8" ht="15.5">
      <c r="B822" s="44"/>
      <c r="C822" s="44"/>
      <c r="D822" s="44"/>
      <c r="E822" s="46"/>
      <c r="G822" s="44"/>
      <c r="H822" s="44"/>
    </row>
    <row r="823" spans="2:8" ht="15.5">
      <c r="B823" s="44"/>
      <c r="C823" s="44"/>
      <c r="D823" s="44"/>
      <c r="E823" s="46"/>
      <c r="G823" s="44"/>
      <c r="H823" s="44"/>
    </row>
    <row r="824" spans="2:8" ht="15.5">
      <c r="B824" s="44"/>
      <c r="C824" s="44"/>
      <c r="D824" s="44"/>
      <c r="E824" s="46"/>
      <c r="G824" s="44"/>
      <c r="H824" s="44"/>
    </row>
    <row r="825" spans="2:8" ht="15.5">
      <c r="B825" s="44"/>
      <c r="C825" s="44"/>
      <c r="D825" s="44"/>
      <c r="E825" s="46"/>
      <c r="G825" s="44"/>
      <c r="H825" s="44"/>
    </row>
    <row r="826" spans="2:8" ht="15.5">
      <c r="B826" s="44"/>
      <c r="C826" s="44"/>
      <c r="D826" s="44"/>
      <c r="E826" s="46"/>
      <c r="G826" s="44"/>
      <c r="H826" s="44"/>
    </row>
    <row r="827" spans="2:8" ht="15.5">
      <c r="B827" s="44"/>
      <c r="C827" s="44"/>
      <c r="D827" s="44"/>
      <c r="E827" s="46"/>
      <c r="G827" s="44"/>
      <c r="H827" s="44"/>
    </row>
    <row r="828" spans="2:8" ht="15.5">
      <c r="B828" s="44"/>
      <c r="C828" s="44"/>
      <c r="D828" s="44"/>
      <c r="E828" s="46"/>
      <c r="G828" s="44"/>
      <c r="H828" s="44"/>
    </row>
    <row r="829" spans="2:8" ht="15.5">
      <c r="B829" s="44"/>
      <c r="C829" s="44"/>
      <c r="D829" s="44"/>
      <c r="E829" s="46"/>
      <c r="G829" s="44"/>
      <c r="H829" s="44"/>
    </row>
    <row r="830" spans="2:8" ht="15.5">
      <c r="B830" s="44"/>
      <c r="C830" s="44"/>
      <c r="D830" s="44"/>
      <c r="E830" s="46"/>
      <c r="G830" s="44"/>
      <c r="H830" s="44"/>
    </row>
    <row r="831" spans="2:8" ht="15.5">
      <c r="B831" s="44"/>
      <c r="C831" s="44"/>
      <c r="D831" s="44"/>
      <c r="E831" s="46"/>
      <c r="G831" s="44"/>
      <c r="H831" s="44"/>
    </row>
    <row r="832" spans="2:8" ht="15.5">
      <c r="B832" s="44"/>
      <c r="C832" s="44"/>
      <c r="D832" s="44"/>
      <c r="E832" s="46"/>
      <c r="G832" s="44"/>
      <c r="H832" s="44"/>
    </row>
    <row r="833" spans="2:8" ht="15.5">
      <c r="B833" s="44"/>
      <c r="C833" s="44"/>
      <c r="D833" s="44"/>
      <c r="E833" s="46"/>
      <c r="G833" s="44"/>
      <c r="H833" s="44"/>
    </row>
    <row r="834" spans="2:8" ht="15.5">
      <c r="B834" s="44"/>
      <c r="C834" s="44"/>
      <c r="D834" s="44"/>
      <c r="E834" s="46"/>
      <c r="G834" s="44"/>
      <c r="H834" s="44"/>
    </row>
    <row r="835" spans="2:8" ht="15.5">
      <c r="B835" s="44"/>
      <c r="C835" s="44"/>
      <c r="D835" s="44"/>
      <c r="E835" s="46"/>
      <c r="G835" s="44"/>
      <c r="H835" s="44"/>
    </row>
    <row r="836" spans="2:8" ht="15.5">
      <c r="B836" s="44"/>
      <c r="C836" s="44"/>
      <c r="D836" s="44"/>
      <c r="E836" s="46"/>
      <c r="G836" s="44"/>
      <c r="H836" s="44"/>
    </row>
    <row r="837" spans="2:8" ht="15.5">
      <c r="B837" s="44"/>
      <c r="C837" s="44"/>
      <c r="D837" s="44"/>
      <c r="E837" s="46"/>
      <c r="G837" s="44"/>
      <c r="H837" s="44"/>
    </row>
    <row r="838" spans="2:8" ht="15.5">
      <c r="B838" s="44"/>
      <c r="C838" s="44"/>
      <c r="D838" s="44"/>
      <c r="E838" s="46"/>
      <c r="G838" s="44"/>
      <c r="H838" s="44"/>
    </row>
    <row r="839" spans="2:8" ht="15.5">
      <c r="B839" s="44"/>
      <c r="C839" s="44"/>
      <c r="D839" s="44"/>
      <c r="E839" s="46"/>
      <c r="G839" s="44"/>
      <c r="H839" s="44"/>
    </row>
    <row r="840" spans="2:8" ht="15.5">
      <c r="B840" s="44"/>
      <c r="C840" s="44"/>
      <c r="D840" s="44"/>
      <c r="E840" s="46"/>
      <c r="G840" s="44"/>
      <c r="H840" s="44"/>
    </row>
    <row r="841" spans="2:8" ht="15.5">
      <c r="B841" s="44"/>
      <c r="C841" s="44"/>
      <c r="D841" s="44"/>
      <c r="E841" s="46"/>
      <c r="G841" s="44"/>
      <c r="H841" s="44"/>
    </row>
    <row r="842" spans="2:8" ht="15.5">
      <c r="B842" s="44"/>
      <c r="C842" s="44"/>
      <c r="D842" s="44"/>
      <c r="E842" s="46"/>
      <c r="G842" s="44"/>
      <c r="H842" s="44"/>
    </row>
    <row r="843" spans="2:8" ht="15.5">
      <c r="B843" s="44"/>
      <c r="C843" s="44"/>
      <c r="D843" s="44"/>
      <c r="E843" s="46"/>
      <c r="G843" s="44"/>
      <c r="H843" s="44"/>
    </row>
    <row r="844" spans="2:8" ht="15.5">
      <c r="B844" s="44"/>
      <c r="C844" s="44"/>
      <c r="D844" s="44"/>
      <c r="E844" s="46"/>
      <c r="G844" s="44"/>
      <c r="H844" s="44"/>
    </row>
    <row r="845" spans="2:8" ht="15.5">
      <c r="B845" s="44"/>
      <c r="C845" s="44"/>
      <c r="D845" s="44"/>
      <c r="E845" s="46"/>
      <c r="G845" s="44"/>
      <c r="H845" s="44"/>
    </row>
    <row r="846" spans="2:8" ht="15.5">
      <c r="B846" s="44"/>
      <c r="C846" s="44"/>
      <c r="D846" s="44"/>
      <c r="E846" s="46"/>
      <c r="G846" s="44"/>
      <c r="H846" s="44"/>
    </row>
    <row r="847" spans="2:8" ht="15.5">
      <c r="B847" s="44"/>
      <c r="C847" s="44"/>
      <c r="D847" s="44"/>
      <c r="E847" s="46"/>
      <c r="G847" s="44"/>
      <c r="H847" s="44"/>
    </row>
    <row r="848" spans="2:8" ht="15.5">
      <c r="B848" s="44"/>
      <c r="C848" s="44"/>
      <c r="D848" s="44"/>
      <c r="E848" s="46"/>
      <c r="G848" s="44"/>
      <c r="H848" s="44"/>
    </row>
    <row r="849" spans="2:8" ht="15.5">
      <c r="B849" s="44"/>
      <c r="C849" s="44"/>
      <c r="D849" s="44"/>
      <c r="E849" s="46"/>
      <c r="G849" s="44"/>
      <c r="H849" s="44"/>
    </row>
    <row r="850" spans="2:8" ht="15.5">
      <c r="B850" s="44"/>
      <c r="C850" s="44"/>
      <c r="D850" s="44"/>
      <c r="E850" s="46"/>
      <c r="G850" s="44"/>
      <c r="H850" s="44"/>
    </row>
    <row r="851" spans="2:8" ht="15.5">
      <c r="B851" s="44"/>
      <c r="C851" s="44"/>
      <c r="D851" s="44"/>
      <c r="E851" s="46"/>
      <c r="G851" s="44"/>
      <c r="H851" s="44"/>
    </row>
    <row r="852" spans="2:8" ht="15.5">
      <c r="B852" s="44"/>
      <c r="C852" s="44"/>
      <c r="D852" s="44"/>
      <c r="E852" s="46"/>
      <c r="G852" s="44"/>
      <c r="H852" s="44"/>
    </row>
    <row r="853" spans="2:8" ht="15.5">
      <c r="B853" s="44"/>
      <c r="C853" s="44"/>
      <c r="D853" s="44"/>
      <c r="E853" s="46"/>
      <c r="G853" s="44"/>
      <c r="H853" s="44"/>
    </row>
    <row r="854" spans="2:8" ht="15.5">
      <c r="B854" s="44"/>
      <c r="C854" s="44"/>
      <c r="D854" s="44"/>
      <c r="E854" s="46"/>
      <c r="G854" s="44"/>
      <c r="H854" s="44"/>
    </row>
    <row r="855" spans="2:8" ht="15.5">
      <c r="B855" s="44"/>
      <c r="C855" s="44"/>
      <c r="D855" s="44"/>
      <c r="E855" s="46"/>
      <c r="G855" s="44"/>
      <c r="H855" s="44"/>
    </row>
    <row r="856" spans="2:8" ht="15.5">
      <c r="B856" s="44"/>
      <c r="C856" s="44"/>
      <c r="D856" s="44"/>
      <c r="E856" s="46"/>
      <c r="G856" s="44"/>
      <c r="H856" s="44"/>
    </row>
    <row r="857" spans="2:8" ht="15.5">
      <c r="B857" s="44"/>
      <c r="C857" s="44"/>
      <c r="D857" s="44"/>
      <c r="E857" s="46"/>
      <c r="G857" s="44"/>
      <c r="H857" s="44"/>
    </row>
    <row r="858" spans="2:8" ht="15.5">
      <c r="B858" s="44"/>
      <c r="C858" s="44"/>
      <c r="D858" s="44"/>
      <c r="E858" s="46"/>
      <c r="G858" s="44"/>
      <c r="H858" s="44"/>
    </row>
    <row r="859" spans="2:8" ht="15.5">
      <c r="B859" s="44"/>
      <c r="C859" s="44"/>
      <c r="D859" s="44"/>
      <c r="E859" s="46"/>
      <c r="G859" s="44"/>
      <c r="H859" s="44"/>
    </row>
    <row r="860" spans="2:8" ht="15.5">
      <c r="B860" s="44"/>
      <c r="C860" s="44"/>
      <c r="D860" s="44"/>
      <c r="E860" s="46"/>
      <c r="G860" s="44"/>
      <c r="H860" s="44"/>
    </row>
    <row r="861" spans="2:8" ht="15.5">
      <c r="B861" s="44"/>
      <c r="C861" s="44"/>
      <c r="D861" s="44"/>
      <c r="E861" s="46"/>
      <c r="G861" s="44"/>
      <c r="H861" s="44"/>
    </row>
    <row r="862" spans="2:8" ht="15.5">
      <c r="B862" s="44"/>
      <c r="C862" s="44"/>
      <c r="D862" s="44"/>
      <c r="E862" s="46"/>
      <c r="G862" s="44"/>
      <c r="H862" s="44"/>
    </row>
    <row r="863" spans="2:8" ht="15.5">
      <c r="B863" s="44"/>
      <c r="C863" s="44"/>
      <c r="D863" s="44"/>
      <c r="E863" s="46"/>
      <c r="G863" s="44"/>
      <c r="H863" s="44"/>
    </row>
    <row r="864" spans="2:8" ht="15.5">
      <c r="B864" s="44"/>
      <c r="C864" s="44"/>
      <c r="D864" s="44"/>
      <c r="E864" s="46"/>
      <c r="G864" s="44"/>
      <c r="H864" s="44"/>
    </row>
    <row r="865" spans="2:8" ht="15.5">
      <c r="B865" s="44"/>
      <c r="C865" s="44"/>
      <c r="D865" s="44"/>
      <c r="E865" s="46"/>
      <c r="G865" s="44"/>
      <c r="H865" s="44"/>
    </row>
    <row r="866" spans="2:8" ht="15.5">
      <c r="B866" s="44"/>
      <c r="C866" s="44"/>
      <c r="D866" s="44"/>
      <c r="E866" s="46"/>
      <c r="G866" s="44"/>
      <c r="H866" s="44"/>
    </row>
    <row r="867" spans="2:8" ht="15.5">
      <c r="B867" s="44"/>
      <c r="C867" s="44"/>
      <c r="D867" s="44"/>
      <c r="E867" s="46"/>
      <c r="G867" s="44"/>
      <c r="H867" s="44"/>
    </row>
    <row r="868" spans="2:8" ht="15.5">
      <c r="B868" s="44"/>
      <c r="C868" s="44"/>
      <c r="D868" s="44"/>
      <c r="E868" s="46"/>
      <c r="G868" s="44"/>
      <c r="H868" s="44"/>
    </row>
    <row r="869" spans="2:8" ht="15.5">
      <c r="B869" s="44"/>
      <c r="C869" s="44"/>
      <c r="D869" s="44"/>
      <c r="E869" s="46"/>
      <c r="G869" s="44"/>
      <c r="H869" s="44"/>
    </row>
    <row r="870" spans="2:8" ht="15.5">
      <c r="B870" s="44"/>
      <c r="C870" s="44"/>
      <c r="D870" s="44"/>
      <c r="E870" s="46"/>
      <c r="G870" s="44"/>
      <c r="H870" s="44"/>
    </row>
    <row r="871" spans="2:8" ht="15.5">
      <c r="B871" s="44"/>
      <c r="C871" s="44"/>
      <c r="D871" s="44"/>
      <c r="E871" s="46"/>
      <c r="G871" s="44"/>
      <c r="H871" s="44"/>
    </row>
    <row r="872" spans="2:8" ht="15.5">
      <c r="B872" s="44"/>
      <c r="C872" s="44"/>
      <c r="D872" s="44"/>
      <c r="E872" s="46"/>
      <c r="G872" s="44"/>
      <c r="H872" s="44"/>
    </row>
    <row r="873" spans="2:8" ht="15.5">
      <c r="B873" s="44"/>
      <c r="C873" s="44"/>
      <c r="D873" s="44"/>
      <c r="E873" s="46"/>
      <c r="G873" s="44"/>
      <c r="H873" s="44"/>
    </row>
    <row r="874" spans="2:8" ht="15.5">
      <c r="B874" s="44"/>
      <c r="C874" s="44"/>
      <c r="D874" s="44"/>
      <c r="E874" s="46"/>
      <c r="G874" s="44"/>
      <c r="H874" s="44"/>
    </row>
    <row r="875" spans="2:8" ht="15.5">
      <c r="B875" s="44"/>
      <c r="C875" s="44"/>
      <c r="D875" s="44"/>
      <c r="E875" s="46"/>
      <c r="G875" s="44"/>
      <c r="H875" s="44"/>
    </row>
    <row r="876" spans="2:8" ht="15.5">
      <c r="B876" s="44"/>
      <c r="C876" s="44"/>
      <c r="D876" s="44"/>
      <c r="E876" s="46"/>
      <c r="G876" s="44"/>
      <c r="H876" s="44"/>
    </row>
    <row r="877" spans="2:8" ht="15.5">
      <c r="B877" s="44"/>
      <c r="C877" s="44"/>
      <c r="D877" s="44"/>
      <c r="E877" s="46"/>
      <c r="G877" s="44"/>
      <c r="H877" s="44"/>
    </row>
    <row r="878" spans="2:8" ht="15.5">
      <c r="B878" s="44"/>
      <c r="C878" s="44"/>
      <c r="D878" s="44"/>
      <c r="E878" s="46"/>
      <c r="G878" s="44"/>
      <c r="H878" s="44"/>
    </row>
    <row r="879" spans="2:8" ht="15.5">
      <c r="B879" s="44"/>
      <c r="C879" s="44"/>
      <c r="D879" s="44"/>
      <c r="E879" s="46"/>
      <c r="G879" s="44"/>
      <c r="H879" s="44"/>
    </row>
    <row r="880" spans="2:8" ht="15.5">
      <c r="B880" s="44"/>
      <c r="C880" s="44"/>
      <c r="D880" s="44"/>
      <c r="E880" s="46"/>
      <c r="G880" s="44"/>
      <c r="H880" s="44"/>
    </row>
    <row r="881" spans="2:8" ht="15.5">
      <c r="B881" s="44"/>
      <c r="C881" s="44"/>
      <c r="D881" s="44"/>
      <c r="E881" s="46"/>
      <c r="G881" s="44"/>
      <c r="H881" s="44"/>
    </row>
    <row r="882" spans="2:8" ht="15.5">
      <c r="B882" s="44"/>
      <c r="C882" s="44"/>
      <c r="D882" s="44"/>
      <c r="E882" s="46"/>
      <c r="G882" s="44"/>
      <c r="H882" s="44"/>
    </row>
    <row r="883" spans="2:8" ht="15.5">
      <c r="B883" s="44"/>
      <c r="C883" s="44"/>
      <c r="D883" s="44"/>
      <c r="E883" s="46"/>
      <c r="G883" s="44"/>
      <c r="H883" s="44"/>
    </row>
    <row r="884" spans="2:8" ht="15.5">
      <c r="B884" s="44"/>
      <c r="C884" s="44"/>
      <c r="D884" s="44"/>
      <c r="E884" s="46"/>
      <c r="G884" s="44"/>
      <c r="H884" s="44"/>
    </row>
    <row r="885" spans="2:8" ht="15.5">
      <c r="B885" s="44"/>
      <c r="C885" s="44"/>
      <c r="D885" s="44"/>
      <c r="E885" s="46"/>
      <c r="G885" s="44"/>
      <c r="H885" s="44"/>
    </row>
    <row r="886" spans="2:8" ht="15.5">
      <c r="B886" s="44"/>
      <c r="C886" s="44"/>
      <c r="D886" s="44"/>
      <c r="E886" s="46"/>
      <c r="G886" s="44"/>
      <c r="H886" s="44"/>
    </row>
    <row r="887" spans="2:8" ht="15.5">
      <c r="B887" s="44"/>
      <c r="C887" s="44"/>
      <c r="D887" s="44"/>
      <c r="E887" s="46"/>
      <c r="G887" s="44"/>
      <c r="H887" s="44"/>
    </row>
    <row r="888" spans="2:8" ht="15.5">
      <c r="B888" s="44"/>
      <c r="C888" s="44"/>
      <c r="D888" s="44"/>
      <c r="E888" s="46"/>
      <c r="G888" s="44"/>
      <c r="H888" s="44"/>
    </row>
    <row r="889" spans="2:8" ht="15.5">
      <c r="B889" s="44"/>
      <c r="C889" s="44"/>
      <c r="D889" s="44"/>
      <c r="E889" s="46"/>
      <c r="G889" s="44"/>
      <c r="H889" s="44"/>
    </row>
    <row r="890" spans="2:8" ht="15.5">
      <c r="B890" s="44"/>
      <c r="C890" s="44"/>
      <c r="D890" s="44"/>
      <c r="E890" s="46"/>
      <c r="G890" s="44"/>
      <c r="H890" s="44"/>
    </row>
    <row r="891" spans="2:8" ht="15.5">
      <c r="B891" s="44"/>
      <c r="C891" s="44"/>
      <c r="D891" s="44"/>
      <c r="E891" s="46"/>
      <c r="G891" s="44"/>
      <c r="H891" s="44"/>
    </row>
    <row r="892" spans="2:8" ht="15.5">
      <c r="B892" s="44"/>
      <c r="C892" s="44"/>
      <c r="D892" s="44"/>
      <c r="E892" s="46"/>
      <c r="G892" s="44"/>
      <c r="H892" s="44"/>
    </row>
    <row r="893" spans="2:8" ht="15.5">
      <c r="B893" s="44"/>
      <c r="C893" s="44"/>
      <c r="D893" s="44"/>
      <c r="E893" s="46"/>
      <c r="G893" s="44"/>
      <c r="H893" s="44"/>
    </row>
    <row r="894" spans="2:8" ht="15.5">
      <c r="B894" s="44"/>
      <c r="C894" s="44"/>
      <c r="D894" s="44"/>
      <c r="E894" s="46"/>
      <c r="G894" s="44"/>
      <c r="H894" s="44"/>
    </row>
    <row r="895" spans="2:8" ht="15.5">
      <c r="B895" s="44"/>
      <c r="C895" s="44"/>
      <c r="D895" s="44"/>
      <c r="E895" s="46"/>
      <c r="G895" s="44"/>
      <c r="H895" s="44"/>
    </row>
    <row r="896" spans="2:8" ht="15.5">
      <c r="B896" s="44"/>
      <c r="C896" s="44"/>
      <c r="D896" s="44"/>
      <c r="E896" s="46"/>
      <c r="G896" s="44"/>
      <c r="H896" s="44"/>
    </row>
    <row r="897" spans="2:8" ht="15.5">
      <c r="B897" s="44"/>
      <c r="C897" s="44"/>
      <c r="D897" s="44"/>
      <c r="E897" s="46"/>
      <c r="G897" s="44"/>
      <c r="H897" s="44"/>
    </row>
    <row r="898" spans="2:8" ht="15.5">
      <c r="B898" s="44"/>
      <c r="C898" s="44"/>
      <c r="D898" s="44"/>
      <c r="E898" s="46"/>
      <c r="G898" s="44"/>
      <c r="H898" s="44"/>
    </row>
    <row r="899" spans="2:8" ht="15.5">
      <c r="B899" s="44"/>
      <c r="C899" s="44"/>
      <c r="D899" s="44"/>
      <c r="E899" s="46"/>
      <c r="G899" s="44"/>
      <c r="H899" s="44"/>
    </row>
    <row r="900" spans="2:8" ht="15.5">
      <c r="B900" s="44"/>
      <c r="C900" s="44"/>
      <c r="D900" s="44"/>
      <c r="E900" s="46"/>
      <c r="G900" s="44"/>
      <c r="H900" s="44"/>
    </row>
    <row r="901" spans="2:8" ht="15.5">
      <c r="B901" s="44"/>
      <c r="C901" s="44"/>
      <c r="D901" s="44"/>
      <c r="E901" s="46"/>
      <c r="G901" s="44"/>
      <c r="H901" s="44"/>
    </row>
    <row r="902" spans="2:8" ht="15.5">
      <c r="B902" s="44"/>
      <c r="C902" s="44"/>
      <c r="D902" s="44"/>
      <c r="E902" s="46"/>
      <c r="G902" s="44"/>
      <c r="H902" s="44"/>
    </row>
    <row r="903" spans="2:8" ht="15.5">
      <c r="B903" s="44"/>
      <c r="C903" s="44"/>
      <c r="D903" s="44"/>
      <c r="E903" s="46"/>
      <c r="G903" s="44"/>
      <c r="H903" s="44"/>
    </row>
    <row r="904" spans="2:8" ht="15.5">
      <c r="B904" s="44"/>
      <c r="C904" s="44"/>
      <c r="D904" s="44"/>
      <c r="E904" s="46"/>
      <c r="G904" s="44"/>
      <c r="H904" s="44"/>
    </row>
    <row r="905" spans="2:8" ht="15.5">
      <c r="B905" s="44"/>
      <c r="C905" s="44"/>
      <c r="D905" s="44"/>
      <c r="E905" s="46"/>
      <c r="G905" s="44"/>
      <c r="H905" s="44"/>
    </row>
    <row r="906" spans="2:8" ht="15.5">
      <c r="B906" s="44"/>
      <c r="C906" s="44"/>
      <c r="D906" s="44"/>
      <c r="E906" s="46"/>
      <c r="G906" s="44"/>
      <c r="H906" s="44"/>
    </row>
    <row r="907" spans="2:8" ht="15.5">
      <c r="B907" s="44"/>
      <c r="C907" s="44"/>
      <c r="D907" s="44"/>
      <c r="E907" s="46"/>
      <c r="G907" s="44"/>
      <c r="H907" s="44"/>
    </row>
    <row r="908" spans="2:8" ht="15.5">
      <c r="B908" s="44"/>
      <c r="C908" s="44"/>
      <c r="D908" s="44"/>
      <c r="E908" s="46"/>
      <c r="G908" s="44"/>
      <c r="H908" s="44"/>
    </row>
    <row r="909" spans="2:8" ht="15.5">
      <c r="B909" s="44"/>
      <c r="C909" s="44"/>
      <c r="D909" s="44"/>
      <c r="E909" s="46"/>
      <c r="G909" s="44"/>
      <c r="H909" s="44"/>
    </row>
    <row r="910" spans="2:8" ht="15.5">
      <c r="B910" s="44"/>
      <c r="C910" s="44"/>
      <c r="D910" s="44"/>
      <c r="E910" s="46"/>
      <c r="G910" s="44"/>
      <c r="H910" s="44"/>
    </row>
    <row r="911" spans="2:8" ht="15.5">
      <c r="B911" s="44"/>
      <c r="C911" s="44"/>
      <c r="D911" s="44"/>
      <c r="E911" s="46"/>
      <c r="G911" s="44"/>
      <c r="H911" s="44"/>
    </row>
    <row r="912" spans="2:8" ht="15.5">
      <c r="B912" s="44"/>
      <c r="C912" s="44"/>
      <c r="D912" s="44"/>
      <c r="E912" s="46"/>
      <c r="G912" s="44"/>
      <c r="H912" s="44"/>
    </row>
    <row r="913" spans="2:8" ht="15.5">
      <c r="B913" s="44"/>
      <c r="C913" s="44"/>
      <c r="D913" s="44"/>
      <c r="E913" s="46"/>
      <c r="G913" s="44"/>
      <c r="H913" s="44"/>
    </row>
    <row r="914" spans="2:8" ht="15.5">
      <c r="B914" s="44"/>
      <c r="C914" s="44"/>
      <c r="D914" s="44"/>
      <c r="E914" s="46"/>
      <c r="G914" s="44"/>
      <c r="H914" s="44"/>
    </row>
    <row r="915" spans="2:8" ht="15.5">
      <c r="B915" s="44"/>
      <c r="C915" s="44"/>
      <c r="D915" s="44"/>
      <c r="E915" s="46"/>
      <c r="G915" s="44"/>
      <c r="H915" s="44"/>
    </row>
    <row r="916" spans="2:8" ht="15.5">
      <c r="B916" s="44"/>
      <c r="C916" s="44"/>
      <c r="D916" s="44"/>
      <c r="E916" s="46"/>
      <c r="G916" s="44"/>
      <c r="H916" s="44"/>
    </row>
    <row r="917" spans="2:8" ht="15.5">
      <c r="B917" s="44"/>
      <c r="C917" s="44"/>
      <c r="D917" s="44"/>
      <c r="E917" s="46"/>
      <c r="G917" s="44"/>
      <c r="H917" s="44"/>
    </row>
    <row r="918" spans="2:8" ht="15.5">
      <c r="B918" s="44"/>
      <c r="C918" s="44"/>
      <c r="D918" s="44"/>
      <c r="E918" s="46"/>
      <c r="G918" s="44"/>
      <c r="H918" s="44"/>
    </row>
    <row r="919" spans="2:8" ht="15.5">
      <c r="B919" s="44"/>
      <c r="C919" s="44"/>
      <c r="D919" s="44"/>
      <c r="E919" s="46"/>
      <c r="G919" s="44"/>
      <c r="H919" s="44"/>
    </row>
    <row r="920" spans="2:8" ht="15.5">
      <c r="B920" s="44"/>
      <c r="C920" s="44"/>
      <c r="D920" s="44"/>
      <c r="E920" s="46"/>
      <c r="G920" s="44"/>
      <c r="H920" s="44"/>
    </row>
    <row r="921" spans="2:8" ht="15.5">
      <c r="B921" s="44"/>
      <c r="C921" s="44"/>
      <c r="D921" s="44"/>
      <c r="E921" s="46"/>
      <c r="G921" s="44"/>
      <c r="H921" s="44"/>
    </row>
    <row r="922" spans="2:8" ht="15.5">
      <c r="B922" s="44"/>
      <c r="C922" s="44"/>
      <c r="D922" s="44"/>
      <c r="E922" s="46"/>
      <c r="G922" s="44"/>
      <c r="H922" s="44"/>
    </row>
    <row r="923" spans="2:8" ht="15.5">
      <c r="B923" s="44"/>
      <c r="C923" s="44"/>
      <c r="D923" s="44"/>
      <c r="E923" s="46"/>
      <c r="G923" s="44"/>
      <c r="H923" s="44"/>
    </row>
    <row r="924" spans="2:8" ht="15.5">
      <c r="B924" s="44"/>
      <c r="C924" s="44"/>
      <c r="D924" s="44"/>
      <c r="E924" s="46"/>
      <c r="G924" s="44"/>
      <c r="H924" s="44"/>
    </row>
    <row r="925" spans="2:8" ht="15.5">
      <c r="B925" s="44"/>
      <c r="C925" s="44"/>
      <c r="D925" s="44"/>
      <c r="E925" s="46"/>
      <c r="G925" s="44"/>
      <c r="H925" s="44"/>
    </row>
    <row r="926" spans="2:8" ht="15.5">
      <c r="B926" s="44"/>
      <c r="C926" s="44"/>
      <c r="D926" s="44"/>
      <c r="E926" s="46"/>
      <c r="G926" s="44"/>
      <c r="H926" s="44"/>
    </row>
    <row r="927" spans="2:8" ht="15.5">
      <c r="B927" s="44"/>
      <c r="C927" s="44"/>
      <c r="D927" s="44"/>
      <c r="E927" s="46"/>
      <c r="G927" s="44"/>
      <c r="H927" s="44"/>
    </row>
    <row r="928" spans="2:8" ht="15.5">
      <c r="B928" s="44"/>
      <c r="C928" s="44"/>
      <c r="D928" s="44"/>
      <c r="E928" s="46"/>
      <c r="G928" s="44"/>
      <c r="H928" s="44"/>
    </row>
    <row r="929" spans="2:8" ht="15.5">
      <c r="B929" s="44"/>
      <c r="C929" s="44"/>
      <c r="D929" s="44"/>
      <c r="E929" s="46"/>
      <c r="G929" s="44"/>
      <c r="H929" s="44"/>
    </row>
    <row r="930" spans="2:8" ht="15.5">
      <c r="B930" s="44"/>
      <c r="C930" s="44"/>
      <c r="D930" s="44"/>
      <c r="E930" s="46"/>
      <c r="G930" s="44"/>
      <c r="H930" s="44"/>
    </row>
    <row r="931" spans="2:8" ht="15.5">
      <c r="B931" s="44"/>
      <c r="C931" s="44"/>
      <c r="D931" s="44"/>
      <c r="E931" s="46"/>
      <c r="G931" s="44"/>
      <c r="H931" s="44"/>
    </row>
    <row r="932" spans="2:8" ht="15.5">
      <c r="B932" s="44"/>
      <c r="C932" s="44"/>
      <c r="D932" s="44"/>
      <c r="E932" s="46"/>
      <c r="G932" s="44"/>
      <c r="H932" s="44"/>
    </row>
    <row r="933" spans="2:8" ht="15.5">
      <c r="B933" s="44"/>
      <c r="C933" s="44"/>
      <c r="D933" s="44"/>
      <c r="E933" s="46"/>
      <c r="G933" s="44"/>
      <c r="H933" s="44"/>
    </row>
    <row r="934" spans="2:8" ht="15.5">
      <c r="B934" s="44"/>
      <c r="C934" s="44"/>
      <c r="D934" s="44"/>
      <c r="E934" s="46"/>
      <c r="G934" s="44"/>
      <c r="H934" s="44"/>
    </row>
    <row r="935" spans="2:8" ht="15.5">
      <c r="B935" s="44"/>
      <c r="C935" s="44"/>
      <c r="D935" s="44"/>
      <c r="E935" s="46"/>
      <c r="G935" s="44"/>
      <c r="H935" s="44"/>
    </row>
    <row r="936" spans="2:8" ht="15.5">
      <c r="B936" s="44"/>
      <c r="C936" s="44"/>
      <c r="D936" s="44"/>
      <c r="E936" s="46"/>
      <c r="G936" s="44"/>
      <c r="H936" s="44"/>
    </row>
    <row r="937" spans="2:8" ht="15.5">
      <c r="B937" s="44"/>
      <c r="C937" s="44"/>
      <c r="D937" s="44"/>
      <c r="E937" s="46"/>
      <c r="G937" s="44"/>
      <c r="H937" s="44"/>
    </row>
    <row r="938" spans="2:8" ht="15.5">
      <c r="B938" s="44"/>
      <c r="C938" s="44"/>
      <c r="D938" s="44"/>
      <c r="E938" s="46"/>
      <c r="G938" s="44"/>
      <c r="H938" s="44"/>
    </row>
    <row r="939" spans="2:8" ht="15.5">
      <c r="B939" s="44"/>
      <c r="C939" s="44"/>
      <c r="D939" s="44"/>
      <c r="E939" s="46"/>
      <c r="G939" s="44"/>
      <c r="H939" s="44"/>
    </row>
    <row r="940" spans="2:8" ht="15.5">
      <c r="B940" s="44"/>
      <c r="C940" s="44"/>
      <c r="D940" s="44"/>
      <c r="E940" s="46"/>
      <c r="G940" s="44"/>
      <c r="H940" s="44"/>
    </row>
    <row r="941" spans="2:8" ht="15.5">
      <c r="B941" s="44"/>
      <c r="C941" s="44"/>
      <c r="D941" s="44"/>
      <c r="E941" s="46"/>
      <c r="G941" s="44"/>
      <c r="H941" s="44"/>
    </row>
    <row r="942" spans="2:8" ht="15.5">
      <c r="B942" s="44"/>
      <c r="C942" s="44"/>
      <c r="D942" s="44"/>
      <c r="E942" s="46"/>
      <c r="G942" s="44"/>
      <c r="H942" s="44"/>
    </row>
    <row r="943" spans="2:8" ht="15.5">
      <c r="B943" s="44"/>
      <c r="C943" s="44"/>
      <c r="D943" s="44"/>
      <c r="E943" s="46"/>
      <c r="G943" s="44"/>
      <c r="H943" s="44"/>
    </row>
    <row r="944" spans="2:8" ht="15.5">
      <c r="B944" s="44"/>
      <c r="C944" s="44"/>
      <c r="D944" s="44"/>
      <c r="E944" s="46"/>
      <c r="G944" s="44"/>
      <c r="H944" s="44"/>
    </row>
    <row r="945" spans="2:8" ht="15.5">
      <c r="B945" s="44"/>
      <c r="C945" s="44"/>
      <c r="D945" s="44"/>
      <c r="E945" s="46"/>
      <c r="G945" s="44"/>
      <c r="H945" s="44"/>
    </row>
    <row r="946" spans="2:8" ht="15.5">
      <c r="B946" s="44"/>
      <c r="C946" s="44"/>
      <c r="D946" s="44"/>
      <c r="E946" s="46"/>
      <c r="G946" s="44"/>
      <c r="H946" s="44"/>
    </row>
    <row r="947" spans="2:8" ht="15.5">
      <c r="B947" s="44"/>
      <c r="C947" s="44"/>
      <c r="D947" s="44"/>
      <c r="E947" s="46"/>
      <c r="G947" s="44"/>
      <c r="H947" s="44"/>
    </row>
    <row r="948" spans="2:8" ht="15.5">
      <c r="B948" s="44"/>
      <c r="C948" s="44"/>
      <c r="D948" s="44"/>
      <c r="E948" s="46"/>
      <c r="G948" s="44"/>
      <c r="H948" s="44"/>
    </row>
    <row r="949" spans="2:8" ht="15.5">
      <c r="B949" s="44"/>
      <c r="C949" s="44"/>
      <c r="D949" s="44"/>
      <c r="E949" s="46"/>
      <c r="G949" s="44"/>
      <c r="H949" s="44"/>
    </row>
    <row r="950" spans="2:8" ht="15.5">
      <c r="B950" s="44"/>
      <c r="C950" s="44"/>
      <c r="D950" s="44"/>
      <c r="E950" s="46"/>
      <c r="G950" s="44"/>
      <c r="H950" s="44"/>
    </row>
    <row r="951" spans="2:8" ht="15.5">
      <c r="B951" s="44"/>
      <c r="C951" s="44"/>
      <c r="D951" s="44"/>
      <c r="E951" s="46"/>
      <c r="G951" s="44"/>
      <c r="H951" s="44"/>
    </row>
    <row r="952" spans="2:8" ht="15.5">
      <c r="B952" s="44"/>
      <c r="C952" s="44"/>
      <c r="D952" s="44"/>
      <c r="E952" s="46"/>
      <c r="G952" s="44"/>
      <c r="H952" s="44"/>
    </row>
    <row r="953" spans="2:8" ht="15.5">
      <c r="B953" s="44"/>
      <c r="C953" s="44"/>
      <c r="D953" s="44"/>
      <c r="E953" s="46"/>
      <c r="G953" s="44"/>
      <c r="H953" s="44"/>
    </row>
    <row r="954" spans="2:8" ht="15.5">
      <c r="B954" s="44"/>
      <c r="C954" s="44"/>
      <c r="D954" s="44"/>
      <c r="E954" s="46"/>
      <c r="G954" s="44"/>
      <c r="H954" s="44"/>
    </row>
    <row r="955" spans="2:8" ht="15.5">
      <c r="B955" s="44"/>
      <c r="C955" s="44"/>
      <c r="D955" s="44"/>
      <c r="E955" s="46"/>
      <c r="G955" s="44"/>
      <c r="H955" s="44"/>
    </row>
    <row r="956" spans="2:8" ht="15.5">
      <c r="B956" s="44"/>
      <c r="C956" s="44"/>
      <c r="D956" s="44"/>
      <c r="E956" s="46"/>
      <c r="G956" s="44"/>
      <c r="H956" s="44"/>
    </row>
    <row r="957" spans="2:8" ht="15.5">
      <c r="B957" s="44"/>
      <c r="C957" s="44"/>
      <c r="D957" s="44"/>
      <c r="E957" s="46"/>
      <c r="G957" s="44"/>
      <c r="H957" s="44"/>
    </row>
    <row r="958" spans="2:8" ht="15.5">
      <c r="B958" s="44"/>
      <c r="C958" s="44"/>
      <c r="D958" s="44"/>
      <c r="E958" s="46"/>
      <c r="G958" s="44"/>
      <c r="H958" s="44"/>
    </row>
    <row r="959" spans="2:8" ht="15.5">
      <c r="B959" s="44"/>
      <c r="C959" s="44"/>
      <c r="D959" s="44"/>
      <c r="E959" s="46"/>
      <c r="G959" s="44"/>
      <c r="H959" s="44"/>
    </row>
    <row r="960" spans="2:8" ht="15.5">
      <c r="B960" s="44"/>
      <c r="C960" s="44"/>
      <c r="D960" s="44"/>
      <c r="E960" s="46"/>
      <c r="G960" s="44"/>
      <c r="H960" s="44"/>
    </row>
    <row r="961" spans="2:8" ht="15.5">
      <c r="B961" s="44"/>
      <c r="C961" s="44"/>
      <c r="D961" s="44"/>
      <c r="E961" s="46"/>
      <c r="G961" s="44"/>
      <c r="H961" s="44"/>
    </row>
    <row r="962" spans="2:8" ht="15.5">
      <c r="B962" s="44"/>
      <c r="C962" s="44"/>
      <c r="D962" s="44"/>
      <c r="E962" s="46"/>
      <c r="G962" s="44"/>
      <c r="H962" s="44"/>
    </row>
    <row r="963" spans="2:8" ht="15.5">
      <c r="B963" s="44"/>
      <c r="C963" s="44"/>
      <c r="D963" s="44"/>
      <c r="E963" s="46"/>
      <c r="G963" s="44"/>
      <c r="H963" s="44"/>
    </row>
    <row r="964" spans="2:8" ht="15.5">
      <c r="B964" s="44"/>
      <c r="C964" s="44"/>
      <c r="D964" s="44"/>
      <c r="E964" s="46"/>
      <c r="G964" s="44"/>
      <c r="H964" s="44"/>
    </row>
    <row r="965" spans="2:8" ht="15.5">
      <c r="B965" s="44"/>
      <c r="C965" s="44"/>
      <c r="D965" s="44"/>
      <c r="E965" s="46"/>
      <c r="G965" s="44"/>
      <c r="H965" s="44"/>
    </row>
    <row r="966" spans="2:8" ht="15.5">
      <c r="B966" s="44"/>
      <c r="C966" s="44"/>
      <c r="D966" s="44"/>
      <c r="E966" s="46"/>
      <c r="G966" s="44"/>
      <c r="H966" s="44"/>
    </row>
    <row r="967" spans="2:8" ht="15.5">
      <c r="B967" s="44"/>
      <c r="C967" s="44"/>
      <c r="D967" s="44"/>
      <c r="E967" s="46"/>
      <c r="G967" s="44"/>
      <c r="H967" s="44"/>
    </row>
    <row r="968" spans="2:8" ht="15.5">
      <c r="B968" s="44"/>
      <c r="C968" s="44"/>
      <c r="D968" s="44"/>
      <c r="E968" s="46"/>
      <c r="G968" s="44"/>
      <c r="H968" s="44"/>
    </row>
    <row r="969" spans="2:8" ht="15.5">
      <c r="B969" s="44"/>
      <c r="C969" s="44"/>
      <c r="D969" s="44"/>
      <c r="E969" s="46"/>
      <c r="G969" s="44"/>
      <c r="H969" s="44"/>
    </row>
    <row r="970" spans="2:8" ht="15.5">
      <c r="B970" s="44"/>
      <c r="C970" s="44"/>
      <c r="D970" s="44"/>
      <c r="E970" s="46"/>
      <c r="G970" s="44"/>
      <c r="H970" s="44"/>
    </row>
    <row r="971" spans="2:8" ht="15.5">
      <c r="B971" s="44"/>
      <c r="C971" s="44"/>
      <c r="D971" s="44"/>
      <c r="E971" s="46"/>
      <c r="G971" s="44"/>
      <c r="H971" s="44"/>
    </row>
    <row r="972" spans="2:8" ht="15.5">
      <c r="B972" s="44"/>
      <c r="C972" s="44"/>
      <c r="D972" s="44"/>
      <c r="E972" s="46"/>
      <c r="G972" s="44"/>
      <c r="H972" s="44"/>
    </row>
    <row r="973" spans="2:8" ht="15.5">
      <c r="B973" s="44"/>
      <c r="C973" s="44"/>
      <c r="D973" s="44"/>
      <c r="E973" s="46"/>
      <c r="G973" s="44"/>
      <c r="H973" s="44"/>
    </row>
    <row r="974" spans="2:8" ht="15.5">
      <c r="B974" s="44"/>
      <c r="C974" s="44"/>
      <c r="D974" s="44"/>
      <c r="E974" s="46"/>
      <c r="G974" s="44"/>
      <c r="H974" s="44"/>
    </row>
    <row r="975" spans="2:8" ht="15.5">
      <c r="B975" s="44"/>
      <c r="C975" s="44"/>
      <c r="D975" s="44"/>
      <c r="E975" s="46"/>
      <c r="G975" s="44"/>
      <c r="H975" s="44"/>
    </row>
    <row r="976" spans="2:8" ht="15.5">
      <c r="B976" s="44"/>
      <c r="C976" s="44"/>
      <c r="D976" s="44"/>
      <c r="E976" s="46"/>
      <c r="G976" s="44"/>
      <c r="H976" s="44"/>
    </row>
    <row r="977" spans="2:8" ht="15.5">
      <c r="B977" s="44"/>
      <c r="C977" s="44"/>
      <c r="D977" s="44"/>
      <c r="E977" s="46"/>
      <c r="G977" s="44"/>
      <c r="H977" s="44"/>
    </row>
    <row r="978" spans="2:8" ht="15.5">
      <c r="B978" s="44"/>
      <c r="C978" s="44"/>
      <c r="D978" s="44"/>
      <c r="E978" s="46"/>
      <c r="G978" s="44"/>
      <c r="H978" s="44"/>
    </row>
    <row r="979" spans="2:8" ht="15.5">
      <c r="B979" s="44"/>
      <c r="C979" s="44"/>
      <c r="D979" s="44"/>
      <c r="E979" s="46"/>
      <c r="G979" s="44"/>
      <c r="H979" s="44"/>
    </row>
    <row r="980" spans="2:8" ht="15.5">
      <c r="B980" s="44"/>
      <c r="C980" s="44"/>
      <c r="D980" s="44"/>
      <c r="E980" s="46"/>
      <c r="G980" s="44"/>
      <c r="H980" s="44"/>
    </row>
    <row r="981" spans="2:8" ht="15.5">
      <c r="B981" s="44"/>
      <c r="C981" s="44"/>
      <c r="D981" s="44"/>
      <c r="E981" s="46"/>
      <c r="G981" s="44"/>
      <c r="H981" s="44"/>
    </row>
    <row r="982" spans="2:8" ht="15.5">
      <c r="B982" s="44"/>
      <c r="C982" s="44"/>
      <c r="D982" s="44"/>
      <c r="E982" s="46"/>
      <c r="G982" s="44"/>
      <c r="H982" s="44"/>
    </row>
    <row r="983" spans="2:8" ht="15.5">
      <c r="B983" s="44"/>
      <c r="C983" s="44"/>
      <c r="D983" s="44"/>
      <c r="E983" s="46"/>
      <c r="G983" s="44"/>
      <c r="H983" s="44"/>
    </row>
    <row r="984" spans="2:8" ht="15.5">
      <c r="B984" s="44"/>
      <c r="C984" s="44"/>
      <c r="D984" s="44"/>
      <c r="E984" s="46"/>
      <c r="G984" s="44"/>
      <c r="H984" s="44"/>
    </row>
    <row r="985" spans="2:8" ht="15.5">
      <c r="B985" s="44"/>
      <c r="C985" s="44"/>
      <c r="D985" s="44"/>
      <c r="E985" s="46"/>
      <c r="G985" s="44"/>
      <c r="H985" s="44"/>
    </row>
    <row r="986" spans="2:8" ht="15.5">
      <c r="B986" s="44"/>
      <c r="C986" s="44"/>
      <c r="D986" s="44"/>
      <c r="E986" s="46"/>
      <c r="G986" s="44"/>
      <c r="H986" s="44"/>
    </row>
    <row r="987" spans="2:8" ht="15.5">
      <c r="B987" s="44"/>
      <c r="C987" s="44"/>
      <c r="D987" s="44"/>
      <c r="E987" s="46"/>
      <c r="G987" s="44"/>
      <c r="H987" s="44"/>
    </row>
    <row r="988" spans="2:8" ht="15.5">
      <c r="B988" s="44"/>
      <c r="C988" s="44"/>
      <c r="D988" s="44"/>
      <c r="E988" s="46"/>
      <c r="G988" s="44"/>
      <c r="H988" s="44"/>
    </row>
    <row r="989" spans="2:8" ht="15.5">
      <c r="B989" s="44"/>
      <c r="C989" s="44"/>
      <c r="D989" s="44"/>
      <c r="E989" s="46"/>
      <c r="G989" s="44"/>
      <c r="H989" s="44"/>
    </row>
    <row r="990" spans="2:8" ht="15.5">
      <c r="B990" s="44"/>
      <c r="C990" s="44"/>
      <c r="D990" s="44"/>
      <c r="E990" s="46"/>
      <c r="G990" s="44"/>
      <c r="H990" s="44"/>
    </row>
    <row r="991" spans="2:8" ht="15.5">
      <c r="B991" s="44"/>
      <c r="C991" s="44"/>
      <c r="D991" s="44"/>
      <c r="E991" s="46"/>
      <c r="G991" s="44"/>
      <c r="H991" s="44"/>
    </row>
    <row r="992" spans="2:8" ht="15.5">
      <c r="B992" s="44"/>
      <c r="C992" s="44"/>
      <c r="D992" s="44"/>
      <c r="E992" s="46"/>
      <c r="G992" s="44"/>
      <c r="H992" s="44"/>
    </row>
    <row r="993" spans="2:8" ht="15.5">
      <c r="B993" s="44"/>
      <c r="C993" s="44"/>
      <c r="D993" s="44"/>
      <c r="E993" s="46"/>
      <c r="G993" s="44"/>
      <c r="H993" s="44"/>
    </row>
    <row r="994" spans="2:8" ht="15.5">
      <c r="B994" s="44"/>
      <c r="C994" s="44"/>
      <c r="D994" s="44"/>
      <c r="E994" s="46"/>
      <c r="G994" s="44"/>
      <c r="H994" s="44"/>
    </row>
    <row r="995" spans="2:8" ht="15.5">
      <c r="B995" s="44"/>
      <c r="C995" s="44"/>
      <c r="D995" s="44"/>
      <c r="E995" s="46"/>
      <c r="G995" s="44"/>
      <c r="H995" s="44"/>
    </row>
    <row r="996" spans="2:8" ht="15.5">
      <c r="B996" s="44"/>
      <c r="C996" s="44"/>
      <c r="D996" s="44"/>
      <c r="E996" s="46"/>
      <c r="G996" s="44"/>
      <c r="H996" s="44"/>
    </row>
    <row r="997" spans="2:8" ht="15.5">
      <c r="B997" s="44"/>
      <c r="C997" s="44"/>
      <c r="D997" s="44"/>
      <c r="E997" s="46"/>
      <c r="G997" s="44"/>
      <c r="H997" s="44"/>
    </row>
    <row r="998" spans="2:8" ht="15.5">
      <c r="B998" s="44"/>
      <c r="C998" s="44"/>
      <c r="D998" s="44"/>
      <c r="E998" s="46"/>
      <c r="G998" s="44"/>
      <c r="H998" s="44"/>
    </row>
    <row r="999" spans="2:8" ht="15.5">
      <c r="B999" s="44"/>
      <c r="C999" s="44"/>
      <c r="D999" s="44"/>
      <c r="E999" s="46"/>
      <c r="G999" s="44"/>
      <c r="H999" s="44"/>
    </row>
    <row r="1000" spans="2:8" ht="15.5">
      <c r="B1000" s="44"/>
      <c r="C1000" s="44"/>
      <c r="D1000" s="44"/>
      <c r="E1000" s="46"/>
      <c r="G1000" s="44"/>
      <c r="H1000" s="44"/>
    </row>
  </sheetData>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B1:H145"/>
  <sheetViews>
    <sheetView workbookViewId="0"/>
  </sheetViews>
  <sheetFormatPr defaultColWidth="12.7265625" defaultRowHeight="15.75" customHeight="1"/>
  <cols>
    <col min="1" max="1" width="4" customWidth="1"/>
    <col min="2" max="2" width="17.26953125" customWidth="1"/>
    <col min="3" max="3" width="5.1796875" customWidth="1"/>
    <col min="7" max="7" width="94.26953125" customWidth="1"/>
    <col min="8" max="8" width="25" customWidth="1"/>
  </cols>
  <sheetData>
    <row r="1" spans="2:8">
      <c r="B1" s="50" t="s">
        <v>776</v>
      </c>
      <c r="D1" s="76" t="s">
        <v>777</v>
      </c>
      <c r="E1" s="61"/>
      <c r="F1" s="61"/>
      <c r="G1" s="61"/>
      <c r="H1" s="61"/>
    </row>
    <row r="2" spans="2:8" ht="15.75" customHeight="1">
      <c r="B2" s="51" t="e">
        <f>#REF!</f>
        <v>#REF!</v>
      </c>
      <c r="D2" s="3" t="str">
        <f ca="1">IFERROR(__xludf.DUMMYFUNCTION("FILTER(
  IMPORTRANGE(B2, ""_Setting_!B1:F70""),
  REGEXMATCH(IMPORTRANGE(B2, ""_Setting_!E1:E70""), ""https"")
)"),"シート1")</f>
        <v>シート1</v>
      </c>
      <c r="E2" s="2" t="str">
        <f ca="1">IFERROR(__xludf.DUMMYFUNCTION("""COMPUTED_VALUE"""),"A級")</f>
        <v>A級</v>
      </c>
      <c r="F2" s="2" t="str">
        <f ca="1">IFERROR(__xludf.DUMMYFUNCTION("""COMPUTED_VALUE"""),"速報")</f>
        <v>速報</v>
      </c>
      <c r="G2" s="52" t="str">
        <f ca="1">IFERROR(__xludf.DUMMYFUNCTION("""COMPUTED_VALUE"""),"https://docs.google.com/spreadsheets/d/1-MZXPnBl9Wd7h4bObvRFJS_pTN5mevdSF85b-j6AOzk/edit?usp=drivesdk")</f>
        <v>https://docs.google.com/spreadsheets/d/1-MZXPnBl9Wd7h4bObvRFJS_pTN5mevdSF85b-j6AOzk/edit?usp=drivesdk</v>
      </c>
      <c r="H2" s="2" t="str">
        <f ca="1">IFERROR(__xludf.DUMMYFUNCTION("""COMPUTED_VALUE"""),"'速報表示'!$I$1:$O")</f>
        <v>'速報表示'!$I$1:$O</v>
      </c>
    </row>
    <row r="3" spans="2:8" ht="15.75" customHeight="1">
      <c r="B3" s="2"/>
      <c r="D3" s="2" t="str">
        <f ca="1">IFERROR(__xludf.DUMMYFUNCTION("""COMPUTED_VALUE"""),"シート2")</f>
        <v>シート2</v>
      </c>
      <c r="E3" s="2" t="str">
        <f ca="1">IFERROR(__xludf.DUMMYFUNCTION("""COMPUTED_VALUE"""),"B1級")</f>
        <v>B1級</v>
      </c>
      <c r="F3" s="2" t="str">
        <f ca="1">IFERROR(__xludf.DUMMYFUNCTION("""COMPUTED_VALUE"""),"速報")</f>
        <v>速報</v>
      </c>
      <c r="G3" s="52" t="str">
        <f ca="1">IFERROR(__xludf.DUMMYFUNCTION("""COMPUTED_VALUE"""),"https://docs.google.com/spreadsheets/d/1VeuF6GeKUOTGwzHO-LSfwI2za36ml_zaeYaL5o2Ghhk/edit?usp=drivesdk")</f>
        <v>https://docs.google.com/spreadsheets/d/1VeuF6GeKUOTGwzHO-LSfwI2za36ml_zaeYaL5o2Ghhk/edit?usp=drivesdk</v>
      </c>
      <c r="H3" s="2" t="str">
        <f ca="1">IFERROR(__xludf.DUMMYFUNCTION("""COMPUTED_VALUE"""),"'速報表示'!$I$1:$O")</f>
        <v>'速報表示'!$I$1:$O</v>
      </c>
    </row>
    <row r="4" spans="2:8">
      <c r="B4" s="50" t="s">
        <v>778</v>
      </c>
      <c r="D4" s="2" t="str">
        <f ca="1">IFERROR(__xludf.DUMMYFUNCTION("""COMPUTED_VALUE"""),"シート3")</f>
        <v>シート3</v>
      </c>
      <c r="E4" s="2" t="str">
        <f ca="1">IFERROR(__xludf.DUMMYFUNCTION("""COMPUTED_VALUE"""),"B2級")</f>
        <v>B2級</v>
      </c>
      <c r="F4" s="2" t="str">
        <f ca="1">IFERROR(__xludf.DUMMYFUNCTION("""COMPUTED_VALUE"""),"速報")</f>
        <v>速報</v>
      </c>
      <c r="G4" s="52" t="str">
        <f ca="1">IFERROR(__xludf.DUMMYFUNCTION("""COMPUTED_VALUE"""),"https://docs.google.com/spreadsheets/d/1Vf0-Zf5QXkKWI5TXBv-pwobDXPRbtWrTvnpwUqYjTZA/edit?usp=drivesdk")</f>
        <v>https://docs.google.com/spreadsheets/d/1Vf0-Zf5QXkKWI5TXBv-pwobDXPRbtWrTvnpwUqYjTZA/edit?usp=drivesdk</v>
      </c>
      <c r="H4" s="2" t="str">
        <f ca="1">IFERROR(__xludf.DUMMYFUNCTION("""COMPUTED_VALUE"""),"'速報表示'!$I$1:$O")</f>
        <v>'速報表示'!$I$1:$O</v>
      </c>
    </row>
    <row r="5" spans="2:8" ht="15.75" customHeight="1">
      <c r="B5" s="53" t="e">
        <f>#REF!</f>
        <v>#REF!</v>
      </c>
      <c r="D5" s="2" t="str">
        <f ca="1">IFERROR(__xludf.DUMMYFUNCTION("""COMPUTED_VALUE"""),"シート4")</f>
        <v>シート4</v>
      </c>
      <c r="E5" s="2" t="str">
        <f ca="1">IFERROR(__xludf.DUMMYFUNCTION("""COMPUTED_VALUE"""),"B3級")</f>
        <v>B3級</v>
      </c>
      <c r="F5" s="2" t="str">
        <f ca="1">IFERROR(__xludf.DUMMYFUNCTION("""COMPUTED_VALUE"""),"速報")</f>
        <v>速報</v>
      </c>
      <c r="G5" s="52" t="str">
        <f ca="1">IFERROR(__xludf.DUMMYFUNCTION("""COMPUTED_VALUE"""),"https://docs.google.com/spreadsheets/d/1WxXyg78YgPjV2g6Maufr1gPhwjcIhEA2YlR7XoLSu-A/edit?usp=drivesdk")</f>
        <v>https://docs.google.com/spreadsheets/d/1WxXyg78YgPjV2g6Maufr1gPhwjcIhEA2YlR7XoLSu-A/edit?usp=drivesdk</v>
      </c>
      <c r="H5" s="2" t="str">
        <f ca="1">IFERROR(__xludf.DUMMYFUNCTION("""COMPUTED_VALUE"""),"'速報表示'!$I$1:$O")</f>
        <v>'速報表示'!$I$1:$O</v>
      </c>
    </row>
    <row r="6" spans="2:8" ht="15.75" customHeight="1">
      <c r="B6" s="2"/>
      <c r="D6" s="2" t="str">
        <f ca="1">IFERROR(__xludf.DUMMYFUNCTION("""COMPUTED_VALUE"""),"シート5")</f>
        <v>シート5</v>
      </c>
      <c r="E6" s="2" t="str">
        <f ca="1">IFERROR(__xludf.DUMMYFUNCTION("""COMPUTED_VALUE"""),"B4級")</f>
        <v>B4級</v>
      </c>
      <c r="F6" s="2" t="str">
        <f ca="1">IFERROR(__xludf.DUMMYFUNCTION("""COMPUTED_VALUE"""),"速報")</f>
        <v>速報</v>
      </c>
      <c r="G6" s="52" t="str">
        <f ca="1">IFERROR(__xludf.DUMMYFUNCTION("""COMPUTED_VALUE"""),"https://docs.google.com/spreadsheets/d/1Kmvsurer_Lp6kV_gGHqAbBlz8HH6cFgI1dwAEnoNZ2g/edit?usp=drivesdk")</f>
        <v>https://docs.google.com/spreadsheets/d/1Kmvsurer_Lp6kV_gGHqAbBlz8HH6cFgI1dwAEnoNZ2g/edit?usp=drivesdk</v>
      </c>
      <c r="H6" s="2" t="str">
        <f ca="1">IFERROR(__xludf.DUMMYFUNCTION("""COMPUTED_VALUE"""),"'速報表示'!$I$1:$O")</f>
        <v>'速報表示'!$I$1:$O</v>
      </c>
    </row>
    <row r="7" spans="2:8" ht="15.75" customHeight="1">
      <c r="B7" s="2"/>
      <c r="D7" s="2" t="str">
        <f ca="1">IFERROR(__xludf.DUMMYFUNCTION("""COMPUTED_VALUE"""),"シート6")</f>
        <v>シート6</v>
      </c>
      <c r="E7" s="2" t="str">
        <f ca="1">IFERROR(__xludf.DUMMYFUNCTION("""COMPUTED_VALUE"""),"B5級")</f>
        <v>B5級</v>
      </c>
      <c r="F7" s="2" t="str">
        <f ca="1">IFERROR(__xludf.DUMMYFUNCTION("""COMPUTED_VALUE"""),"速報")</f>
        <v>速報</v>
      </c>
      <c r="G7" s="52" t="str">
        <f ca="1">IFERROR(__xludf.DUMMYFUNCTION("""COMPUTED_VALUE"""),"https://docs.google.com/spreadsheets/d/19BIrSmulqEh9AXqKQdwgOUomd__wIypcOwldR9oSJtU/edit?usp=drivesdk")</f>
        <v>https://docs.google.com/spreadsheets/d/19BIrSmulqEh9AXqKQdwgOUomd__wIypcOwldR9oSJtU/edit?usp=drivesdk</v>
      </c>
      <c r="H7" s="2" t="str">
        <f ca="1">IFERROR(__xludf.DUMMYFUNCTION("""COMPUTED_VALUE"""),"'速報表示'!$I$1:$O")</f>
        <v>'速報表示'!$I$1:$O</v>
      </c>
    </row>
    <row r="8" spans="2:8" ht="15.75" customHeight="1">
      <c r="B8" s="2"/>
      <c r="D8" s="2" t="str">
        <f ca="1">IFERROR(__xludf.DUMMYFUNCTION("""COMPUTED_VALUE"""),"シート7")</f>
        <v>シート7</v>
      </c>
      <c r="E8" s="2" t="str">
        <f ca="1">IFERROR(__xludf.DUMMYFUNCTION("""COMPUTED_VALUE"""),"C1級")</f>
        <v>C1級</v>
      </c>
      <c r="F8" s="2" t="str">
        <f ca="1">IFERROR(__xludf.DUMMYFUNCTION("""COMPUTED_VALUE"""),"速報")</f>
        <v>速報</v>
      </c>
      <c r="G8" s="52" t="str">
        <f ca="1">IFERROR(__xludf.DUMMYFUNCTION("""COMPUTED_VALUE"""),"https://docs.google.com/spreadsheets/d/1Km5q6etNZVJvUXvQt7MbAm1CiPgdgD3WbuBk-IEbltE/edit?usp=drivesdk")</f>
        <v>https://docs.google.com/spreadsheets/d/1Km5q6etNZVJvUXvQt7MbAm1CiPgdgD3WbuBk-IEbltE/edit?usp=drivesdk</v>
      </c>
      <c r="H8" s="2" t="str">
        <f ca="1">IFERROR(__xludf.DUMMYFUNCTION("""COMPUTED_VALUE"""),"'速報表示'!$I$1:$O")</f>
        <v>'速報表示'!$I$1:$O</v>
      </c>
    </row>
    <row r="9" spans="2:8" ht="15.75" customHeight="1">
      <c r="B9" s="2"/>
      <c r="D9" s="2" t="str">
        <f ca="1">IFERROR(__xludf.DUMMYFUNCTION("""COMPUTED_VALUE"""),"シート8")</f>
        <v>シート8</v>
      </c>
      <c r="E9" s="2" t="str">
        <f ca="1">IFERROR(__xludf.DUMMYFUNCTION("""COMPUTED_VALUE"""),"C2級")</f>
        <v>C2級</v>
      </c>
      <c r="F9" s="2" t="str">
        <f ca="1">IFERROR(__xludf.DUMMYFUNCTION("""COMPUTED_VALUE"""),"速報")</f>
        <v>速報</v>
      </c>
      <c r="G9" s="52" t="str">
        <f ca="1">IFERROR(__xludf.DUMMYFUNCTION("""COMPUTED_VALUE"""),"https://docs.google.com/spreadsheets/d/1BhVSucEAj1wo7CpB5JE7KlLSrNVdFxF7YIoDXXy5DFo/edit?usp=drivesdk")</f>
        <v>https://docs.google.com/spreadsheets/d/1BhVSucEAj1wo7CpB5JE7KlLSrNVdFxF7YIoDXXy5DFo/edit?usp=drivesdk</v>
      </c>
      <c r="H9" s="2" t="str">
        <f ca="1">IFERROR(__xludf.DUMMYFUNCTION("""COMPUTED_VALUE"""),"'速報表示'!$I$1:$O")</f>
        <v>'速報表示'!$I$1:$O</v>
      </c>
    </row>
    <row r="10" spans="2:8" ht="15.75" customHeight="1">
      <c r="B10" s="2"/>
      <c r="D10" s="2" t="str">
        <f ca="1">IFERROR(__xludf.DUMMYFUNCTION("""COMPUTED_VALUE"""),"シート9")</f>
        <v>シート9</v>
      </c>
      <c r="E10" s="2" t="str">
        <f ca="1">IFERROR(__xludf.DUMMYFUNCTION("""COMPUTED_VALUE"""),"C3級")</f>
        <v>C3級</v>
      </c>
      <c r="F10" s="2" t="str">
        <f ca="1">IFERROR(__xludf.DUMMYFUNCTION("""COMPUTED_VALUE"""),"速報")</f>
        <v>速報</v>
      </c>
      <c r="G10" s="52" t="str">
        <f ca="1">IFERROR(__xludf.DUMMYFUNCTION("""COMPUTED_VALUE"""),"https://docs.google.com/spreadsheets/d/1SjAdeb1zUMrHPIkdruy08Cdpv35GPoEXDjy8zscxEm4/edit?usp=drivesdk")</f>
        <v>https://docs.google.com/spreadsheets/d/1SjAdeb1zUMrHPIkdruy08Cdpv35GPoEXDjy8zscxEm4/edit?usp=drivesdk</v>
      </c>
      <c r="H10" s="2" t="str">
        <f ca="1">IFERROR(__xludf.DUMMYFUNCTION("""COMPUTED_VALUE"""),"'速報表示'!$I$1:$O")</f>
        <v>'速報表示'!$I$1:$O</v>
      </c>
    </row>
    <row r="11" spans="2:8" ht="15.75" customHeight="1">
      <c r="B11" s="2"/>
      <c r="D11" s="2" t="str">
        <f ca="1">IFERROR(__xludf.DUMMYFUNCTION("""COMPUTED_VALUE"""),"シート10")</f>
        <v>シート10</v>
      </c>
      <c r="E11" s="2" t="str">
        <f ca="1">IFERROR(__xludf.DUMMYFUNCTION("""COMPUTED_VALUE"""),"C4級")</f>
        <v>C4級</v>
      </c>
      <c r="F11" s="2" t="str">
        <f ca="1">IFERROR(__xludf.DUMMYFUNCTION("""COMPUTED_VALUE"""),"速報")</f>
        <v>速報</v>
      </c>
      <c r="G11" s="52" t="str">
        <f ca="1">IFERROR(__xludf.DUMMYFUNCTION("""COMPUTED_VALUE"""),"https://docs.google.com/spreadsheets/d/16MGW4WNSw5JI3UfbJqM1hAKIbvqQRbo-41n08BX07BE/edit?usp=drivesdk")</f>
        <v>https://docs.google.com/spreadsheets/d/16MGW4WNSw5JI3UfbJqM1hAKIbvqQRbo-41n08BX07BE/edit?usp=drivesdk</v>
      </c>
      <c r="H11" s="2" t="str">
        <f ca="1">IFERROR(__xludf.DUMMYFUNCTION("""COMPUTED_VALUE"""),"'速報表示'!$I$1:$O")</f>
        <v>'速報表示'!$I$1:$O</v>
      </c>
    </row>
    <row r="12" spans="2:8" ht="15.75" customHeight="1">
      <c r="B12" s="2"/>
      <c r="D12" s="2" t="str">
        <f ca="1">IFERROR(__xludf.DUMMYFUNCTION("""COMPUTED_VALUE"""),"シート11")</f>
        <v>シート11</v>
      </c>
      <c r="E12" s="2" t="str">
        <f ca="1">IFERROR(__xludf.DUMMYFUNCTION("""COMPUTED_VALUE"""),"C5級")</f>
        <v>C5級</v>
      </c>
      <c r="F12" s="2" t="str">
        <f ca="1">IFERROR(__xludf.DUMMYFUNCTION("""COMPUTED_VALUE"""),"速報")</f>
        <v>速報</v>
      </c>
      <c r="G12" s="52" t="str">
        <f ca="1">IFERROR(__xludf.DUMMYFUNCTION("""COMPUTED_VALUE"""),"https://docs.google.com/spreadsheets/d/1M5eBktJ24jwZP15Z9GXIyy6b6T9ksZfU-CGiztfx2Zc/edit?usp=drivesdk")</f>
        <v>https://docs.google.com/spreadsheets/d/1M5eBktJ24jwZP15Z9GXIyy6b6T9ksZfU-CGiztfx2Zc/edit?usp=drivesdk</v>
      </c>
      <c r="H12" s="2" t="str">
        <f ca="1">IFERROR(__xludf.DUMMYFUNCTION("""COMPUTED_VALUE"""),"'速報表示'!$I$1:$O")</f>
        <v>'速報表示'!$I$1:$O</v>
      </c>
    </row>
    <row r="13" spans="2:8" ht="15.75" customHeight="1">
      <c r="B13" s="2"/>
      <c r="D13" s="2" t="str">
        <f ca="1">IFERROR(__xludf.DUMMYFUNCTION("""COMPUTED_VALUE"""),"シート12")</f>
        <v>シート12</v>
      </c>
      <c r="E13" s="2" t="str">
        <f ca="1">IFERROR(__xludf.DUMMYFUNCTION("""COMPUTED_VALUE"""),"C6級")</f>
        <v>C6級</v>
      </c>
      <c r="F13" s="2" t="str">
        <f ca="1">IFERROR(__xludf.DUMMYFUNCTION("""COMPUTED_VALUE"""),"速報")</f>
        <v>速報</v>
      </c>
      <c r="G13" s="52" t="str">
        <f ca="1">IFERROR(__xludf.DUMMYFUNCTION("""COMPUTED_VALUE"""),"https://docs.google.com/spreadsheets/d/1sNqCLS4ouDciEDu87MuB-7sr2veWtiBMKHhj8Ce0C4M/edit?usp=drivesdk")</f>
        <v>https://docs.google.com/spreadsheets/d/1sNqCLS4ouDciEDu87MuB-7sr2veWtiBMKHhj8Ce0C4M/edit?usp=drivesdk</v>
      </c>
      <c r="H13" s="2" t="str">
        <f ca="1">IFERROR(__xludf.DUMMYFUNCTION("""COMPUTED_VALUE"""),"'速報表示'!$I$1:$O")</f>
        <v>'速報表示'!$I$1:$O</v>
      </c>
    </row>
    <row r="14" spans="2:8" ht="15.75" customHeight="1">
      <c r="B14" s="2"/>
      <c r="D14" s="2" t="str">
        <f ca="1">IFERROR(__xludf.DUMMYFUNCTION("""COMPUTED_VALUE"""),"シート13")</f>
        <v>シート13</v>
      </c>
      <c r="E14" s="2" t="str">
        <f ca="1">IFERROR(__xludf.DUMMYFUNCTION("""COMPUTED_VALUE"""),"C7級")</f>
        <v>C7級</v>
      </c>
      <c r="F14" s="2" t="str">
        <f ca="1">IFERROR(__xludf.DUMMYFUNCTION("""COMPUTED_VALUE"""),"速報")</f>
        <v>速報</v>
      </c>
      <c r="G14" s="52" t="str">
        <f ca="1">IFERROR(__xludf.DUMMYFUNCTION("""COMPUTED_VALUE"""),"https://docs.google.com/spreadsheets/d/11Ii-qxGsj-laNAFvL8sxd3sw0FfHuY-_L8GiFn6IXHg/edit?usp=drivesdk")</f>
        <v>https://docs.google.com/spreadsheets/d/11Ii-qxGsj-laNAFvL8sxd3sw0FfHuY-_L8GiFn6IXHg/edit?usp=drivesdk</v>
      </c>
      <c r="H14" s="2" t="str">
        <f ca="1">IFERROR(__xludf.DUMMYFUNCTION("""COMPUTED_VALUE"""),"'速報表示'!$I$1:$O")</f>
        <v>'速報表示'!$I$1:$O</v>
      </c>
    </row>
    <row r="15" spans="2:8" ht="15.75" customHeight="1">
      <c r="B15" s="2"/>
      <c r="D15" s="2" t="str">
        <f ca="1">IFERROR(__xludf.DUMMYFUNCTION("""COMPUTED_VALUE"""),"シート14")</f>
        <v>シート14</v>
      </c>
      <c r="E15" s="2" t="str">
        <f ca="1">IFERROR(__xludf.DUMMYFUNCTION("""COMPUTED_VALUE"""),"C8級")</f>
        <v>C8級</v>
      </c>
      <c r="F15" s="2" t="str">
        <f ca="1">IFERROR(__xludf.DUMMYFUNCTION("""COMPUTED_VALUE"""),"速報")</f>
        <v>速報</v>
      </c>
      <c r="G15" s="52" t="str">
        <f ca="1">IFERROR(__xludf.DUMMYFUNCTION("""COMPUTED_VALUE"""),"https://docs.google.com/spreadsheets/d/1M7TRvgVNWBLpyTEKRxOwK6LgCwakMitz7S6B-mW1QVo/edit?usp=drivesdk")</f>
        <v>https://docs.google.com/spreadsheets/d/1M7TRvgVNWBLpyTEKRxOwK6LgCwakMitz7S6B-mW1QVo/edit?usp=drivesdk</v>
      </c>
      <c r="H15" s="2" t="str">
        <f ca="1">IFERROR(__xludf.DUMMYFUNCTION("""COMPUTED_VALUE"""),"'速報表示'!$I$1:$O")</f>
        <v>'速報表示'!$I$1:$O</v>
      </c>
    </row>
    <row r="16" spans="2:8" ht="15.75" customHeight="1">
      <c r="B16" s="2"/>
      <c r="D16" s="2" t="str">
        <f ca="1">IFERROR(__xludf.DUMMYFUNCTION("""COMPUTED_VALUE"""),"シート15")</f>
        <v>シート15</v>
      </c>
      <c r="E16" s="2" t="str">
        <f ca="1">IFERROR(__xludf.DUMMYFUNCTION("""COMPUTED_VALUE"""),"C9級")</f>
        <v>C9級</v>
      </c>
      <c r="F16" s="2" t="str">
        <f ca="1">IFERROR(__xludf.DUMMYFUNCTION("""COMPUTED_VALUE"""),"速報")</f>
        <v>速報</v>
      </c>
      <c r="G16" s="52" t="str">
        <f ca="1">IFERROR(__xludf.DUMMYFUNCTION("""COMPUTED_VALUE"""),"https://docs.google.com/spreadsheets/d/1QWMxzYY9-ggGQqsSN5-2Zj1l5akdKTTeaGM-X3nkvK4/edit?usp=drivesdk")</f>
        <v>https://docs.google.com/spreadsheets/d/1QWMxzYY9-ggGQqsSN5-2Zj1l5akdKTTeaGM-X3nkvK4/edit?usp=drivesdk</v>
      </c>
      <c r="H16" s="2" t="str">
        <f ca="1">IFERROR(__xludf.DUMMYFUNCTION("""COMPUTED_VALUE"""),"'速報表示'!$I$1:$O")</f>
        <v>'速報表示'!$I$1:$O</v>
      </c>
    </row>
    <row r="17" spans="2:8" ht="15.75" customHeight="1">
      <c r="B17" s="2"/>
      <c r="D17" s="2" t="str">
        <f ca="1">IFERROR(__xludf.DUMMYFUNCTION("""COMPUTED_VALUE"""),"シート16")</f>
        <v>シート16</v>
      </c>
      <c r="E17" s="2" t="str">
        <f ca="1">IFERROR(__xludf.DUMMYFUNCTION("""COMPUTED_VALUE"""),"C10級")</f>
        <v>C10級</v>
      </c>
      <c r="F17" s="2" t="str">
        <f ca="1">IFERROR(__xludf.DUMMYFUNCTION("""COMPUTED_VALUE"""),"速報")</f>
        <v>速報</v>
      </c>
      <c r="G17" s="52" t="str">
        <f ca="1">IFERROR(__xludf.DUMMYFUNCTION("""COMPUTED_VALUE"""),"https://docs.google.com/spreadsheets/d/1u5EkAfQgN-3SlSU8zM8jDrtRH35bUPYYSXIFnmO7pYY/edit?usp=drivesdk")</f>
        <v>https://docs.google.com/spreadsheets/d/1u5EkAfQgN-3SlSU8zM8jDrtRH35bUPYYSXIFnmO7pYY/edit?usp=drivesdk</v>
      </c>
      <c r="H17" s="2" t="str">
        <f ca="1">IFERROR(__xludf.DUMMYFUNCTION("""COMPUTED_VALUE"""),"'速報表示'!$I$1:$O")</f>
        <v>'速報表示'!$I$1:$O</v>
      </c>
    </row>
    <row r="18" spans="2:8" ht="15.75" customHeight="1">
      <c r="B18" s="2"/>
      <c r="D18" s="2" t="str">
        <f ca="1">IFERROR(__xludf.DUMMYFUNCTION("""COMPUTED_VALUE"""),"シート17")</f>
        <v>シート17</v>
      </c>
      <c r="E18" s="2" t="str">
        <f ca="1">IFERROR(__xludf.DUMMYFUNCTION("""COMPUTED_VALUE"""),"C11級")</f>
        <v>C11級</v>
      </c>
      <c r="F18" s="2" t="str">
        <f ca="1">IFERROR(__xludf.DUMMYFUNCTION("""COMPUTED_VALUE"""),"速報")</f>
        <v>速報</v>
      </c>
      <c r="G18" s="52" t="str">
        <f ca="1">IFERROR(__xludf.DUMMYFUNCTION("""COMPUTED_VALUE"""),"https://docs.google.com/spreadsheets/d/1DRvYYIfoAjZe-UdmMcKlpTA9xwpDShbwvBMpEGxk378/edit?usp=drivesdk")</f>
        <v>https://docs.google.com/spreadsheets/d/1DRvYYIfoAjZe-UdmMcKlpTA9xwpDShbwvBMpEGxk378/edit?usp=drivesdk</v>
      </c>
      <c r="H18" s="2" t="str">
        <f ca="1">IFERROR(__xludf.DUMMYFUNCTION("""COMPUTED_VALUE"""),"'速報表示'!$I$1:$O")</f>
        <v>'速報表示'!$I$1:$O</v>
      </c>
    </row>
    <row r="19" spans="2:8" ht="15.75" customHeight="1">
      <c r="B19" s="2"/>
      <c r="D19" s="2" t="str">
        <f ca="1">IFERROR(__xludf.DUMMYFUNCTION("""COMPUTED_VALUE"""),"シート18")</f>
        <v>シート18</v>
      </c>
      <c r="E19" s="2" t="str">
        <f ca="1">IFERROR(__xludf.DUMMYFUNCTION("""COMPUTED_VALUE"""),"C12級")</f>
        <v>C12級</v>
      </c>
      <c r="F19" s="2" t="str">
        <f ca="1">IFERROR(__xludf.DUMMYFUNCTION("""COMPUTED_VALUE"""),"速報")</f>
        <v>速報</v>
      </c>
      <c r="G19" s="52" t="str">
        <f ca="1">IFERROR(__xludf.DUMMYFUNCTION("""COMPUTED_VALUE"""),"https://docs.google.com/spreadsheets/d/13tzA1ktx5PEp-qtKszyaWBlwGMM3wHaqvNnkZZOl2zk/edit?usp=drivesdk")</f>
        <v>https://docs.google.com/spreadsheets/d/13tzA1ktx5PEp-qtKszyaWBlwGMM3wHaqvNnkZZOl2zk/edit?usp=drivesdk</v>
      </c>
      <c r="H19" s="2" t="str">
        <f ca="1">IFERROR(__xludf.DUMMYFUNCTION("""COMPUTED_VALUE"""),"'速報表示'!$I$1:$O")</f>
        <v>'速報表示'!$I$1:$O</v>
      </c>
    </row>
    <row r="20" spans="2:8" ht="15.75" customHeight="1">
      <c r="B20" s="2"/>
      <c r="D20" s="2" t="str">
        <f ca="1">IFERROR(__xludf.DUMMYFUNCTION("""COMPUTED_VALUE"""),"シート19")</f>
        <v>シート19</v>
      </c>
      <c r="E20" s="2" t="str">
        <f ca="1">IFERROR(__xludf.DUMMYFUNCTION("""COMPUTED_VALUE"""),"C13級")</f>
        <v>C13級</v>
      </c>
      <c r="F20" s="2" t="str">
        <f ca="1">IFERROR(__xludf.DUMMYFUNCTION("""COMPUTED_VALUE"""),"速報")</f>
        <v>速報</v>
      </c>
      <c r="G20" s="52" t="str">
        <f ca="1">IFERROR(__xludf.DUMMYFUNCTION("""COMPUTED_VALUE"""),"https://docs.google.com/spreadsheets/d/1Ktp6iyvl-kklS-MZfUJ_MykMhrGukOUaNxw9FzKCxl4/edit?usp=drivesdk")</f>
        <v>https://docs.google.com/spreadsheets/d/1Ktp6iyvl-kklS-MZfUJ_MykMhrGukOUaNxw9FzKCxl4/edit?usp=drivesdk</v>
      </c>
      <c r="H20" s="2" t="str">
        <f ca="1">IFERROR(__xludf.DUMMYFUNCTION("""COMPUTED_VALUE"""),"'速報表示'!$I$1:$O")</f>
        <v>'速報表示'!$I$1:$O</v>
      </c>
    </row>
    <row r="21" spans="2:8" ht="15.75" customHeight="1">
      <c r="B21" s="2"/>
      <c r="D21" s="2" t="str">
        <f ca="1">IFERROR(__xludf.DUMMYFUNCTION("""COMPUTED_VALUE"""),"シート20")</f>
        <v>シート20</v>
      </c>
      <c r="E21" s="2" t="str">
        <f ca="1">IFERROR(__xludf.DUMMYFUNCTION("""COMPUTED_VALUE"""),"C14級")</f>
        <v>C14級</v>
      </c>
      <c r="F21" s="2" t="str">
        <f ca="1">IFERROR(__xludf.DUMMYFUNCTION("""COMPUTED_VALUE"""),"速報")</f>
        <v>速報</v>
      </c>
      <c r="G21" s="52" t="str">
        <f ca="1">IFERROR(__xludf.DUMMYFUNCTION("""COMPUTED_VALUE"""),"https://docs.google.com/spreadsheets/d/1OpwR9I7hNZuzbsQkD0Z7-U6ojcQ0hskrVeExjZie4ss/edit?usp=drivesdk")</f>
        <v>https://docs.google.com/spreadsheets/d/1OpwR9I7hNZuzbsQkD0Z7-U6ojcQ0hskrVeExjZie4ss/edit?usp=drivesdk</v>
      </c>
      <c r="H21" s="2" t="str">
        <f ca="1">IFERROR(__xludf.DUMMYFUNCTION("""COMPUTED_VALUE"""),"'速報表示'!$I$1:$O")</f>
        <v>'速報表示'!$I$1:$O</v>
      </c>
    </row>
    <row r="22" spans="2:8" ht="15.75" customHeight="1">
      <c r="B22" s="2"/>
      <c r="D22" s="2" t="str">
        <f ca="1">IFERROR(__xludf.DUMMYFUNCTION("""COMPUTED_VALUE"""),"シート21")</f>
        <v>シート21</v>
      </c>
      <c r="E22" s="2" t="str">
        <f ca="1">IFERROR(__xludf.DUMMYFUNCTION("""COMPUTED_VALUE"""),"C15級")</f>
        <v>C15級</v>
      </c>
      <c r="F22" s="2" t="str">
        <f ca="1">IFERROR(__xludf.DUMMYFUNCTION("""COMPUTED_VALUE"""),"速報")</f>
        <v>速報</v>
      </c>
      <c r="G22" s="52" t="str">
        <f ca="1">IFERROR(__xludf.DUMMYFUNCTION("""COMPUTED_VALUE"""),"https://docs.google.com/spreadsheets/d/1eHJHU2oBK2I2_UbwVQ-Nyb61XUPORAGjjcTRClr09ss/edit?usp=drivesdk")</f>
        <v>https://docs.google.com/spreadsheets/d/1eHJHU2oBK2I2_UbwVQ-Nyb61XUPORAGjjcTRClr09ss/edit?usp=drivesdk</v>
      </c>
      <c r="H22" s="2" t="str">
        <f ca="1">IFERROR(__xludf.DUMMYFUNCTION("""COMPUTED_VALUE"""),"'速報表示'!$I$1:$O")</f>
        <v>'速報表示'!$I$1:$O</v>
      </c>
    </row>
    <row r="23" spans="2:8" ht="15.75" customHeight="1">
      <c r="B23" s="2"/>
      <c r="D23" s="2" t="str">
        <f ca="1">IFERROR(__xludf.DUMMYFUNCTION("""COMPUTED_VALUE"""),"シート22")</f>
        <v>シート22</v>
      </c>
      <c r="E23" s="2" t="str">
        <f ca="1">IFERROR(__xludf.DUMMYFUNCTION("""COMPUTED_VALUE"""),"C16級")</f>
        <v>C16級</v>
      </c>
      <c r="F23" s="2" t="str">
        <f ca="1">IFERROR(__xludf.DUMMYFUNCTION("""COMPUTED_VALUE"""),"速報")</f>
        <v>速報</v>
      </c>
      <c r="G23" s="52" t="str">
        <f ca="1">IFERROR(__xludf.DUMMYFUNCTION("""COMPUTED_VALUE"""),"https://docs.google.com/spreadsheets/d/1urW4NW7aifLlnWw_WI2EYfqcHUwalIMX3pJSpuU6CTI/edit?usp=drivesdk")</f>
        <v>https://docs.google.com/spreadsheets/d/1urW4NW7aifLlnWw_WI2EYfqcHUwalIMX3pJSpuU6CTI/edit?usp=drivesdk</v>
      </c>
      <c r="H23" s="2" t="str">
        <f ca="1">IFERROR(__xludf.DUMMYFUNCTION("""COMPUTED_VALUE"""),"'速報表示'!$I$1:$O")</f>
        <v>'速報表示'!$I$1:$O</v>
      </c>
    </row>
    <row r="24" spans="2:8" ht="15.75" customHeight="1">
      <c r="B24" s="2"/>
      <c r="D24" s="2" t="str">
        <f ca="1">IFERROR(__xludf.DUMMYFUNCTION("""COMPUTED_VALUE"""),"シート23")</f>
        <v>シート23</v>
      </c>
      <c r="E24" s="2" t="str">
        <f ca="1">IFERROR(__xludf.DUMMYFUNCTION("""COMPUTED_VALUE"""),"C17級")</f>
        <v>C17級</v>
      </c>
      <c r="F24" s="2" t="str">
        <f ca="1">IFERROR(__xludf.DUMMYFUNCTION("""COMPUTED_VALUE"""),"速報")</f>
        <v>速報</v>
      </c>
      <c r="G24" s="52" t="str">
        <f ca="1">IFERROR(__xludf.DUMMYFUNCTION("""COMPUTED_VALUE"""),"https://docs.google.com/spreadsheets/d/1Yi8rj5sGpnDAdLnDztruq1OQTmBExzLf6R57V3wm3zY/edit?usp=drivesdk")</f>
        <v>https://docs.google.com/spreadsheets/d/1Yi8rj5sGpnDAdLnDztruq1OQTmBExzLf6R57V3wm3zY/edit?usp=drivesdk</v>
      </c>
      <c r="H24" s="2" t="str">
        <f ca="1">IFERROR(__xludf.DUMMYFUNCTION("""COMPUTED_VALUE"""),"'速報表示'!$I$1:$O")</f>
        <v>'速報表示'!$I$1:$O</v>
      </c>
    </row>
    <row r="25" spans="2:8" ht="15.75" customHeight="1">
      <c r="B25" s="2"/>
      <c r="D25" s="2" t="str">
        <f ca="1">IFERROR(__xludf.DUMMYFUNCTION("""COMPUTED_VALUE"""),"シート24")</f>
        <v>シート24</v>
      </c>
      <c r="E25" s="2" t="str">
        <f ca="1">IFERROR(__xludf.DUMMYFUNCTION("""COMPUTED_VALUE"""),"C18級")</f>
        <v>C18級</v>
      </c>
      <c r="F25" s="2" t="str">
        <f ca="1">IFERROR(__xludf.DUMMYFUNCTION("""COMPUTED_VALUE"""),"速報")</f>
        <v>速報</v>
      </c>
      <c r="G25" s="52" t="str">
        <f ca="1">IFERROR(__xludf.DUMMYFUNCTION("""COMPUTED_VALUE"""),"https://docs.google.com/spreadsheets/d/1_1cOeimbnamQ3N5wYwa3h59ugQ3VU1w7gBsjeAdeRZM/edit?usp=drivesdk")</f>
        <v>https://docs.google.com/spreadsheets/d/1_1cOeimbnamQ3N5wYwa3h59ugQ3VU1w7gBsjeAdeRZM/edit?usp=drivesdk</v>
      </c>
      <c r="H25" s="2" t="str">
        <f ca="1">IFERROR(__xludf.DUMMYFUNCTION("""COMPUTED_VALUE"""),"'速報表示'!$I$1:$O")</f>
        <v>'速報表示'!$I$1:$O</v>
      </c>
    </row>
    <row r="26" spans="2:8" ht="12.5">
      <c r="B26" s="2"/>
      <c r="D26" s="2" t="str">
        <f ca="1">IFERROR(__xludf.DUMMYFUNCTION("""COMPUTED_VALUE"""),"シート25")</f>
        <v>シート25</v>
      </c>
      <c r="E26" s="2" t="str">
        <f ca="1">IFERROR(__xludf.DUMMYFUNCTION("""COMPUTED_VALUE"""),"C19級")</f>
        <v>C19級</v>
      </c>
      <c r="F26" s="2" t="str">
        <f ca="1">IFERROR(__xludf.DUMMYFUNCTION("""COMPUTED_VALUE"""),"速報")</f>
        <v>速報</v>
      </c>
      <c r="G26" s="52" t="str">
        <f ca="1">IFERROR(__xludf.DUMMYFUNCTION("""COMPUTED_VALUE"""),"https://docs.google.com/spreadsheets/d/1GQIqFioSRCUcLIxfjMk2KYEEUU8xAo_KfKuIQA1mJDU/edit?usp=drivesdk")</f>
        <v>https://docs.google.com/spreadsheets/d/1GQIqFioSRCUcLIxfjMk2KYEEUU8xAo_KfKuIQA1mJDU/edit?usp=drivesdk</v>
      </c>
      <c r="H26" s="2" t="str">
        <f ca="1">IFERROR(__xludf.DUMMYFUNCTION("""COMPUTED_VALUE"""),"'速報表示'!$I$1:$O")</f>
        <v>'速報表示'!$I$1:$O</v>
      </c>
    </row>
    <row r="27" spans="2:8" ht="12.5">
      <c r="B27" s="2"/>
      <c r="D27" s="2" t="str">
        <f ca="1">IFERROR(__xludf.DUMMYFUNCTION("""COMPUTED_VALUE"""),"シート26")</f>
        <v>シート26</v>
      </c>
      <c r="E27" s="2" t="str">
        <f ca="1">IFERROR(__xludf.DUMMYFUNCTION("""COMPUTED_VALUE"""),"C20級")</f>
        <v>C20級</v>
      </c>
      <c r="F27" s="2" t="str">
        <f ca="1">IFERROR(__xludf.DUMMYFUNCTION("""COMPUTED_VALUE"""),"速報")</f>
        <v>速報</v>
      </c>
      <c r="G27" s="52" t="str">
        <f ca="1">IFERROR(__xludf.DUMMYFUNCTION("""COMPUTED_VALUE"""),"https://docs.google.com/spreadsheets/d/1whaRso4QpeV0nmGqpcUOuUD2VziIUI3bPpcBU98CuJw/edit?usp=drivesdk")</f>
        <v>https://docs.google.com/spreadsheets/d/1whaRso4QpeV0nmGqpcUOuUD2VziIUI3bPpcBU98CuJw/edit?usp=drivesdk</v>
      </c>
      <c r="H27" s="2" t="str">
        <f ca="1">IFERROR(__xludf.DUMMYFUNCTION("""COMPUTED_VALUE"""),"'速報表示'!$I$1:$O")</f>
        <v>'速報表示'!$I$1:$O</v>
      </c>
    </row>
    <row r="28" spans="2:8" ht="12.5">
      <c r="B28" s="2"/>
      <c r="D28" s="2" t="str">
        <f ca="1">IFERROR(__xludf.DUMMYFUNCTION("""COMPUTED_VALUE"""),"シート27")</f>
        <v>シート27</v>
      </c>
      <c r="E28" s="2" t="str">
        <f ca="1">IFERROR(__xludf.DUMMYFUNCTION("""COMPUTED_VALUE"""),"C21級")</f>
        <v>C21級</v>
      </c>
      <c r="F28" s="2" t="str">
        <f ca="1">IFERROR(__xludf.DUMMYFUNCTION("""COMPUTED_VALUE"""),"速報")</f>
        <v>速報</v>
      </c>
      <c r="G28" s="52" t="str">
        <f ca="1">IFERROR(__xludf.DUMMYFUNCTION("""COMPUTED_VALUE"""),"https://docs.google.com/spreadsheets/d/1PmKkTSPgPf4_6waZYYpTJf24L28th49KA7jBRB7SRvs/edit?usp=drivesdk")</f>
        <v>https://docs.google.com/spreadsheets/d/1PmKkTSPgPf4_6waZYYpTJf24L28th49KA7jBRB7SRvs/edit?usp=drivesdk</v>
      </c>
      <c r="H28" s="2" t="str">
        <f ca="1">IFERROR(__xludf.DUMMYFUNCTION("""COMPUTED_VALUE"""),"'速報表示'!$I$1:$O")</f>
        <v>'速報表示'!$I$1:$O</v>
      </c>
    </row>
    <row r="29" spans="2:8" ht="12.5">
      <c r="B29" s="2"/>
      <c r="D29" s="2" t="str">
        <f ca="1">IFERROR(__xludf.DUMMYFUNCTION("""COMPUTED_VALUE"""),"シート28")</f>
        <v>シート28</v>
      </c>
      <c r="E29" s="2" t="str">
        <f ca="1">IFERROR(__xludf.DUMMYFUNCTION("""COMPUTED_VALUE"""),"D1級")</f>
        <v>D1級</v>
      </c>
      <c r="F29" s="2" t="str">
        <f ca="1">IFERROR(__xludf.DUMMYFUNCTION("""COMPUTED_VALUE"""),"速報")</f>
        <v>速報</v>
      </c>
      <c r="G29" s="52" t="str">
        <f ca="1">IFERROR(__xludf.DUMMYFUNCTION("""COMPUTED_VALUE"""),"https://docs.google.com/spreadsheets/d/1PMmqzKQovq-E4y36JxV5Bqx4lL1en5xNeWb7VCXXOv0/edit?usp=drivesdk")</f>
        <v>https://docs.google.com/spreadsheets/d/1PMmqzKQovq-E4y36JxV5Bqx4lL1en5xNeWb7VCXXOv0/edit?usp=drivesdk</v>
      </c>
      <c r="H29" s="2" t="str">
        <f ca="1">IFERROR(__xludf.DUMMYFUNCTION("""COMPUTED_VALUE"""),"'速報表示'!$I$1:$O")</f>
        <v>'速報表示'!$I$1:$O</v>
      </c>
    </row>
    <row r="30" spans="2:8" ht="12.5">
      <c r="B30" s="2"/>
      <c r="D30" s="2" t="str">
        <f ca="1">IFERROR(__xludf.DUMMYFUNCTION("""COMPUTED_VALUE"""),"シート29")</f>
        <v>シート29</v>
      </c>
      <c r="E30" s="2" t="str">
        <f ca="1">IFERROR(__xludf.DUMMYFUNCTION("""COMPUTED_VALUE"""),"D2級")</f>
        <v>D2級</v>
      </c>
      <c r="F30" s="2" t="str">
        <f ca="1">IFERROR(__xludf.DUMMYFUNCTION("""COMPUTED_VALUE"""),"速報")</f>
        <v>速報</v>
      </c>
      <c r="G30" s="52" t="str">
        <f ca="1">IFERROR(__xludf.DUMMYFUNCTION("""COMPUTED_VALUE"""),"https://docs.google.com/spreadsheets/d/1Ywu097SnBg4bqYCvL05URfJg_Sm47GGfMftcw-3PlAc/edit?usp=drivesdk")</f>
        <v>https://docs.google.com/spreadsheets/d/1Ywu097SnBg4bqYCvL05URfJg_Sm47GGfMftcw-3PlAc/edit?usp=drivesdk</v>
      </c>
      <c r="H30" s="2" t="str">
        <f ca="1">IFERROR(__xludf.DUMMYFUNCTION("""COMPUTED_VALUE"""),"'速報表示'!$I$1:$O")</f>
        <v>'速報表示'!$I$1:$O</v>
      </c>
    </row>
    <row r="31" spans="2:8" ht="12.5">
      <c r="B31" s="2"/>
      <c r="D31" s="2" t="str">
        <f ca="1">IFERROR(__xludf.DUMMYFUNCTION("""COMPUTED_VALUE"""),"シート30")</f>
        <v>シート30</v>
      </c>
      <c r="E31" s="2" t="str">
        <f ca="1">IFERROR(__xludf.DUMMYFUNCTION("""COMPUTED_VALUE"""),"D3級")</f>
        <v>D3級</v>
      </c>
      <c r="F31" s="2" t="str">
        <f ca="1">IFERROR(__xludf.DUMMYFUNCTION("""COMPUTED_VALUE"""),"速報")</f>
        <v>速報</v>
      </c>
      <c r="G31" s="52" t="str">
        <f ca="1">IFERROR(__xludf.DUMMYFUNCTION("""COMPUTED_VALUE"""),"https://docs.google.com/spreadsheets/d/1ib6lAJGS0APjKXxC__0UonPM1KszUjR5OyENwSJha2k/edit?usp=drivesdk")</f>
        <v>https://docs.google.com/spreadsheets/d/1ib6lAJGS0APjKXxC__0UonPM1KszUjR5OyENwSJha2k/edit?usp=drivesdk</v>
      </c>
      <c r="H31" s="2" t="str">
        <f ca="1">IFERROR(__xludf.DUMMYFUNCTION("""COMPUTED_VALUE"""),"'速報表示'!$I$1:$O")</f>
        <v>'速報表示'!$I$1:$O</v>
      </c>
    </row>
    <row r="32" spans="2:8" ht="12.5">
      <c r="B32" s="2"/>
      <c r="D32" s="2" t="str">
        <f ca="1">IFERROR(__xludf.DUMMYFUNCTION("""COMPUTED_VALUE"""),"シート31")</f>
        <v>シート31</v>
      </c>
      <c r="E32" s="2" t="str">
        <f ca="1">IFERROR(__xludf.DUMMYFUNCTION("""COMPUTED_VALUE"""),"D4級")</f>
        <v>D4級</v>
      </c>
      <c r="F32" s="2" t="str">
        <f ca="1">IFERROR(__xludf.DUMMYFUNCTION("""COMPUTED_VALUE"""),"速報")</f>
        <v>速報</v>
      </c>
      <c r="G32" s="52" t="str">
        <f ca="1">IFERROR(__xludf.DUMMYFUNCTION("""COMPUTED_VALUE"""),"https://docs.google.com/spreadsheets/d/1DuYtuOUsVtcJzFIBxv-_AdZCtTAB0Wwq2YaLv4zd5Cc/edit?usp=drivesdk")</f>
        <v>https://docs.google.com/spreadsheets/d/1DuYtuOUsVtcJzFIBxv-_AdZCtTAB0Wwq2YaLv4zd5Cc/edit?usp=drivesdk</v>
      </c>
      <c r="H32" s="2" t="str">
        <f ca="1">IFERROR(__xludf.DUMMYFUNCTION("""COMPUTED_VALUE"""),"'速報表示'!$I$1:$O")</f>
        <v>'速報表示'!$I$1:$O</v>
      </c>
    </row>
    <row r="33" spans="2:8" ht="12.5">
      <c r="B33" s="2"/>
      <c r="D33" s="2" t="str">
        <f ca="1">IFERROR(__xludf.DUMMYFUNCTION("""COMPUTED_VALUE"""),"シート32")</f>
        <v>シート32</v>
      </c>
      <c r="E33" s="2" t="str">
        <f ca="1">IFERROR(__xludf.DUMMYFUNCTION("""COMPUTED_VALUE"""),"D5級")</f>
        <v>D5級</v>
      </c>
      <c r="F33" s="2" t="str">
        <f ca="1">IFERROR(__xludf.DUMMYFUNCTION("""COMPUTED_VALUE"""),"速報")</f>
        <v>速報</v>
      </c>
      <c r="G33" s="52" t="str">
        <f ca="1">IFERROR(__xludf.DUMMYFUNCTION("""COMPUTED_VALUE"""),"https://docs.google.com/spreadsheets/d/1Ejaz54ZsYejnxftjfLfkRpgHsR9G3dA5jIxdLDrxHxI/edit?usp=drivesdk")</f>
        <v>https://docs.google.com/spreadsheets/d/1Ejaz54ZsYejnxftjfLfkRpgHsR9G3dA5jIxdLDrxHxI/edit?usp=drivesdk</v>
      </c>
      <c r="H33" s="2" t="str">
        <f ca="1">IFERROR(__xludf.DUMMYFUNCTION("""COMPUTED_VALUE"""),"'速報表示'!$I$1:$O")</f>
        <v>'速報表示'!$I$1:$O</v>
      </c>
    </row>
    <row r="34" spans="2:8" ht="12.5">
      <c r="B34" s="2"/>
      <c r="D34" s="2" t="str">
        <f ca="1">IFERROR(__xludf.DUMMYFUNCTION("""COMPUTED_VALUE"""),"シート33")</f>
        <v>シート33</v>
      </c>
      <c r="E34" s="2" t="str">
        <f ca="1">IFERROR(__xludf.DUMMYFUNCTION("""COMPUTED_VALUE"""),"D6級")</f>
        <v>D6級</v>
      </c>
      <c r="F34" s="2" t="str">
        <f ca="1">IFERROR(__xludf.DUMMYFUNCTION("""COMPUTED_VALUE"""),"速報")</f>
        <v>速報</v>
      </c>
      <c r="G34" s="52" t="str">
        <f ca="1">IFERROR(__xludf.DUMMYFUNCTION("""COMPUTED_VALUE"""),"https://docs.google.com/spreadsheets/d/1lZW484NQgXSojjRVO7vQcUhFVYWyLTaCKYctbKCCfUQ/edit?usp=drivesdk")</f>
        <v>https://docs.google.com/spreadsheets/d/1lZW484NQgXSojjRVO7vQcUhFVYWyLTaCKYctbKCCfUQ/edit?usp=drivesdk</v>
      </c>
      <c r="H34" s="2" t="str">
        <f ca="1">IFERROR(__xludf.DUMMYFUNCTION("""COMPUTED_VALUE"""),"'速報表示'!$I$1:$O")</f>
        <v>'速報表示'!$I$1:$O</v>
      </c>
    </row>
    <row r="35" spans="2:8" ht="12.5">
      <c r="B35" s="2"/>
      <c r="D35" s="2" t="str">
        <f ca="1">IFERROR(__xludf.DUMMYFUNCTION("""COMPUTED_VALUE"""),"シート34")</f>
        <v>シート34</v>
      </c>
      <c r="E35" s="2" t="str">
        <f ca="1">IFERROR(__xludf.DUMMYFUNCTION("""COMPUTED_VALUE"""),"D7級")</f>
        <v>D7級</v>
      </c>
      <c r="F35" s="2" t="str">
        <f ca="1">IFERROR(__xludf.DUMMYFUNCTION("""COMPUTED_VALUE"""),"速報")</f>
        <v>速報</v>
      </c>
      <c r="G35" s="52" t="str">
        <f ca="1">IFERROR(__xludf.DUMMYFUNCTION("""COMPUTED_VALUE"""),"https://docs.google.com/spreadsheets/d/1HJO-BMSCbfdR82fltJY138SIDsNv50He-k8v28haIRU/edit?usp=drivesdk")</f>
        <v>https://docs.google.com/spreadsheets/d/1HJO-BMSCbfdR82fltJY138SIDsNv50He-k8v28haIRU/edit?usp=drivesdk</v>
      </c>
      <c r="H35" s="2" t="str">
        <f ca="1">IFERROR(__xludf.DUMMYFUNCTION("""COMPUTED_VALUE"""),"'速報表示'!$I$1:$O")</f>
        <v>'速報表示'!$I$1:$O</v>
      </c>
    </row>
    <row r="36" spans="2:8" ht="12.5">
      <c r="B36" s="2"/>
      <c r="D36" s="2" t="str">
        <f ca="1">IFERROR(__xludf.DUMMYFUNCTION("""COMPUTED_VALUE"""),"シート35")</f>
        <v>シート35</v>
      </c>
      <c r="E36" s="2" t="str">
        <f ca="1">IFERROR(__xludf.DUMMYFUNCTION("""COMPUTED_VALUE"""),"D8級")</f>
        <v>D8級</v>
      </c>
      <c r="F36" s="2" t="str">
        <f ca="1">IFERROR(__xludf.DUMMYFUNCTION("""COMPUTED_VALUE"""),"速報")</f>
        <v>速報</v>
      </c>
      <c r="G36" s="52" t="str">
        <f ca="1">IFERROR(__xludf.DUMMYFUNCTION("""COMPUTED_VALUE"""),"https://docs.google.com/spreadsheets/d/1VKgyMRLEFN80t5Ql1WCqryj9xpJOziaSgt0tjdZrtMc/edit?usp=drivesdk")</f>
        <v>https://docs.google.com/spreadsheets/d/1VKgyMRLEFN80t5Ql1WCqryj9xpJOziaSgt0tjdZrtMc/edit?usp=drivesdk</v>
      </c>
      <c r="H36" s="2" t="str">
        <f ca="1">IFERROR(__xludf.DUMMYFUNCTION("""COMPUTED_VALUE"""),"'速報表示'!$I$1:$O")</f>
        <v>'速報表示'!$I$1:$O</v>
      </c>
    </row>
    <row r="37" spans="2:8" ht="12.5">
      <c r="B37" s="2"/>
      <c r="D37" s="2" t="str">
        <f ca="1">IFERROR(__xludf.DUMMYFUNCTION("""COMPUTED_VALUE"""),"シート36")</f>
        <v>シート36</v>
      </c>
      <c r="E37" s="2" t="str">
        <f ca="1">IFERROR(__xludf.DUMMYFUNCTION("""COMPUTED_VALUE"""),"D9級")</f>
        <v>D9級</v>
      </c>
      <c r="F37" s="2" t="str">
        <f ca="1">IFERROR(__xludf.DUMMYFUNCTION("""COMPUTED_VALUE"""),"速報")</f>
        <v>速報</v>
      </c>
      <c r="G37" s="52" t="str">
        <f ca="1">IFERROR(__xludf.DUMMYFUNCTION("""COMPUTED_VALUE"""),"https://docs.google.com/spreadsheets/d/1l5t-J90otzP49mnOQUUdYoPkw81yq_sAf2TVfQ5EwkI/edit?usp=drivesdk")</f>
        <v>https://docs.google.com/spreadsheets/d/1l5t-J90otzP49mnOQUUdYoPkw81yq_sAf2TVfQ5EwkI/edit?usp=drivesdk</v>
      </c>
      <c r="H37" s="2" t="str">
        <f ca="1">IFERROR(__xludf.DUMMYFUNCTION("""COMPUTED_VALUE"""),"'速報表示'!$I$1:$O")</f>
        <v>'速報表示'!$I$1:$O</v>
      </c>
    </row>
    <row r="38" spans="2:8" ht="12.5">
      <c r="B38" s="2"/>
      <c r="D38" s="2" t="str">
        <f ca="1">IFERROR(__xludf.DUMMYFUNCTION("""COMPUTED_VALUE"""),"シート37")</f>
        <v>シート37</v>
      </c>
      <c r="E38" s="2" t="str">
        <f ca="1">IFERROR(__xludf.DUMMYFUNCTION("""COMPUTED_VALUE"""),"D10級")</f>
        <v>D10級</v>
      </c>
      <c r="F38" s="2" t="str">
        <f ca="1">IFERROR(__xludf.DUMMYFUNCTION("""COMPUTED_VALUE"""),"速報")</f>
        <v>速報</v>
      </c>
      <c r="G38" s="52" t="str">
        <f ca="1">IFERROR(__xludf.DUMMYFUNCTION("""COMPUTED_VALUE"""),"https://docs.google.com/spreadsheets/d/19G3gNmK4fVXNo9dP1a_zD4DnwMAdDWztj2D0W7VUfuc/edit?usp=drivesdk")</f>
        <v>https://docs.google.com/spreadsheets/d/19G3gNmK4fVXNo9dP1a_zD4DnwMAdDWztj2D0W7VUfuc/edit?usp=drivesdk</v>
      </c>
      <c r="H38" s="2" t="str">
        <f ca="1">IFERROR(__xludf.DUMMYFUNCTION("""COMPUTED_VALUE"""),"'速報表示'!$I$1:$O")</f>
        <v>'速報表示'!$I$1:$O</v>
      </c>
    </row>
    <row r="39" spans="2:8" ht="12.5">
      <c r="B39" s="2"/>
      <c r="D39" s="2" t="str">
        <f ca="1">IFERROR(__xludf.DUMMYFUNCTION("""COMPUTED_VALUE"""),"シート38")</f>
        <v>シート38</v>
      </c>
      <c r="E39" s="2" t="str">
        <f ca="1">IFERROR(__xludf.DUMMYFUNCTION("""COMPUTED_VALUE"""),"D11級")</f>
        <v>D11級</v>
      </c>
      <c r="F39" s="2" t="str">
        <f ca="1">IFERROR(__xludf.DUMMYFUNCTION("""COMPUTED_VALUE"""),"速報")</f>
        <v>速報</v>
      </c>
      <c r="G39" s="52" t="str">
        <f ca="1">IFERROR(__xludf.DUMMYFUNCTION("""COMPUTED_VALUE"""),"https://docs.google.com/spreadsheets/d/1E7P_OFq6gp0rCqjukImSDtdiMjYwAXzVvyxKYUEY5Vs/edit?usp=drivesdk")</f>
        <v>https://docs.google.com/spreadsheets/d/1E7P_OFq6gp0rCqjukImSDtdiMjYwAXzVvyxKYUEY5Vs/edit?usp=drivesdk</v>
      </c>
      <c r="H39" s="2" t="str">
        <f ca="1">IFERROR(__xludf.DUMMYFUNCTION("""COMPUTED_VALUE"""),"'速報表示'!$I$1:$O")</f>
        <v>'速報表示'!$I$1:$O</v>
      </c>
    </row>
    <row r="40" spans="2:8" ht="12.5">
      <c r="B40" s="2"/>
      <c r="D40" s="2" t="str">
        <f ca="1">IFERROR(__xludf.DUMMYFUNCTION("""COMPUTED_VALUE"""),"シート39")</f>
        <v>シート39</v>
      </c>
      <c r="E40" s="2" t="str">
        <f ca="1">IFERROR(__xludf.DUMMYFUNCTION("""COMPUTED_VALUE"""),"D12級")</f>
        <v>D12級</v>
      </c>
      <c r="F40" s="2" t="str">
        <f ca="1">IFERROR(__xludf.DUMMYFUNCTION("""COMPUTED_VALUE"""),"速報")</f>
        <v>速報</v>
      </c>
      <c r="G40" s="52" t="str">
        <f ca="1">IFERROR(__xludf.DUMMYFUNCTION("""COMPUTED_VALUE"""),"https://docs.google.com/spreadsheets/d/1kKk37hKU7f-HkclDWpUQx3SFR7vZKnZ7a-MQ0l0uUco/edit?usp=drivesdk")</f>
        <v>https://docs.google.com/spreadsheets/d/1kKk37hKU7f-HkclDWpUQx3SFR7vZKnZ7a-MQ0l0uUco/edit?usp=drivesdk</v>
      </c>
      <c r="H40" s="2" t="str">
        <f ca="1">IFERROR(__xludf.DUMMYFUNCTION("""COMPUTED_VALUE"""),"'速報表示'!$I$1:$O")</f>
        <v>'速報表示'!$I$1:$O</v>
      </c>
    </row>
    <row r="41" spans="2:8" ht="12.5">
      <c r="B41" s="2"/>
      <c r="D41" s="2" t="str">
        <f ca="1">IFERROR(__xludf.DUMMYFUNCTION("""COMPUTED_VALUE"""),"シート40")</f>
        <v>シート40</v>
      </c>
      <c r="E41" s="2" t="str">
        <f ca="1">IFERROR(__xludf.DUMMYFUNCTION("""COMPUTED_VALUE"""),"D13級")</f>
        <v>D13級</v>
      </c>
      <c r="F41" s="2" t="str">
        <f ca="1">IFERROR(__xludf.DUMMYFUNCTION("""COMPUTED_VALUE"""),"速報")</f>
        <v>速報</v>
      </c>
      <c r="G41" s="52" t="str">
        <f ca="1">IFERROR(__xludf.DUMMYFUNCTION("""COMPUTED_VALUE"""),"https://docs.google.com/spreadsheets/d/1N-hCJa3jXN0EdoGW-EjUaRQnajJAsAqzwbpJ98_D5s0/edit?usp=drivesdk")</f>
        <v>https://docs.google.com/spreadsheets/d/1N-hCJa3jXN0EdoGW-EjUaRQnajJAsAqzwbpJ98_D5s0/edit?usp=drivesdk</v>
      </c>
      <c r="H41" s="2" t="str">
        <f ca="1">IFERROR(__xludf.DUMMYFUNCTION("""COMPUTED_VALUE"""),"'速報表示'!$I$1:$O")</f>
        <v>'速報表示'!$I$1:$O</v>
      </c>
    </row>
    <row r="42" spans="2:8" ht="12.5">
      <c r="B42" s="2"/>
      <c r="D42" s="2" t="str">
        <f ca="1">IFERROR(__xludf.DUMMYFUNCTION("""COMPUTED_VALUE"""),"シート41")</f>
        <v>シート41</v>
      </c>
      <c r="E42" s="2" t="str">
        <f ca="1">IFERROR(__xludf.DUMMYFUNCTION("""COMPUTED_VALUE"""),"D14級")</f>
        <v>D14級</v>
      </c>
      <c r="F42" s="2" t="str">
        <f ca="1">IFERROR(__xludf.DUMMYFUNCTION("""COMPUTED_VALUE"""),"速報")</f>
        <v>速報</v>
      </c>
      <c r="G42" s="52" t="str">
        <f ca="1">IFERROR(__xludf.DUMMYFUNCTION("""COMPUTED_VALUE"""),"https://docs.google.com/spreadsheets/d/19iPFTPnZJunPd_7oUameQhwQC44WcwCPrgWyCYnO_AU/edit?usp=drivesdk")</f>
        <v>https://docs.google.com/spreadsheets/d/19iPFTPnZJunPd_7oUameQhwQC44WcwCPrgWyCYnO_AU/edit?usp=drivesdk</v>
      </c>
      <c r="H42" s="2" t="str">
        <f ca="1">IFERROR(__xludf.DUMMYFUNCTION("""COMPUTED_VALUE"""),"'速報表示'!$I$1:$O")</f>
        <v>'速報表示'!$I$1:$O</v>
      </c>
    </row>
    <row r="43" spans="2:8" ht="12.5">
      <c r="B43" s="2"/>
      <c r="D43" s="2" t="str">
        <f ca="1">IFERROR(__xludf.DUMMYFUNCTION("""COMPUTED_VALUE"""),"シート42")</f>
        <v>シート42</v>
      </c>
      <c r="E43" s="2" t="str">
        <f ca="1">IFERROR(__xludf.DUMMYFUNCTION("""COMPUTED_VALUE"""),"D15級")</f>
        <v>D15級</v>
      </c>
      <c r="F43" s="2" t="str">
        <f ca="1">IFERROR(__xludf.DUMMYFUNCTION("""COMPUTED_VALUE"""),"速報")</f>
        <v>速報</v>
      </c>
      <c r="G43" s="52" t="str">
        <f ca="1">IFERROR(__xludf.DUMMYFUNCTION("""COMPUTED_VALUE"""),"https://docs.google.com/spreadsheets/d/1JOGZLtPIZrC_hmETVwdi76EJnDGISkThWsfVh-3rm8w/edit?usp=drivesdk")</f>
        <v>https://docs.google.com/spreadsheets/d/1JOGZLtPIZrC_hmETVwdi76EJnDGISkThWsfVh-3rm8w/edit?usp=drivesdk</v>
      </c>
      <c r="H43" s="2" t="str">
        <f ca="1">IFERROR(__xludf.DUMMYFUNCTION("""COMPUTED_VALUE"""),"'速報表示'!$I$1:$O")</f>
        <v>'速報表示'!$I$1:$O</v>
      </c>
    </row>
    <row r="44" spans="2:8" ht="12.5">
      <c r="B44" s="2"/>
      <c r="D44" s="2" t="str">
        <f ca="1">IFERROR(__xludf.DUMMYFUNCTION("""COMPUTED_VALUE"""),"シート43")</f>
        <v>シート43</v>
      </c>
      <c r="E44" s="2" t="str">
        <f ca="1">IFERROR(__xludf.DUMMYFUNCTION("""COMPUTED_VALUE"""),"D16級")</f>
        <v>D16級</v>
      </c>
      <c r="F44" s="2" t="str">
        <f ca="1">IFERROR(__xludf.DUMMYFUNCTION("""COMPUTED_VALUE"""),"速報")</f>
        <v>速報</v>
      </c>
      <c r="G44" s="52" t="str">
        <f ca="1">IFERROR(__xludf.DUMMYFUNCTION("""COMPUTED_VALUE"""),"https://docs.google.com/spreadsheets/d/1t88Ydr2xFy_sgcFtj7-a694MR-H73o2d87CpnYs3Z3E/edit?usp=drivesdk")</f>
        <v>https://docs.google.com/spreadsheets/d/1t88Ydr2xFy_sgcFtj7-a694MR-H73o2d87CpnYs3Z3E/edit?usp=drivesdk</v>
      </c>
      <c r="H44" s="2" t="str">
        <f ca="1">IFERROR(__xludf.DUMMYFUNCTION("""COMPUTED_VALUE"""),"'速報表示'!$I$1:$O")</f>
        <v>'速報表示'!$I$1:$O</v>
      </c>
    </row>
    <row r="45" spans="2:8" ht="12.5">
      <c r="B45" s="2"/>
      <c r="D45" s="2" t="str">
        <f ca="1">IFERROR(__xludf.DUMMYFUNCTION("""COMPUTED_VALUE"""),"シート44")</f>
        <v>シート44</v>
      </c>
      <c r="E45" s="2" t="str">
        <f ca="1">IFERROR(__xludf.DUMMYFUNCTION("""COMPUTED_VALUE"""),"D17級")</f>
        <v>D17級</v>
      </c>
      <c r="F45" s="2" t="str">
        <f ca="1">IFERROR(__xludf.DUMMYFUNCTION("""COMPUTED_VALUE"""),"速報")</f>
        <v>速報</v>
      </c>
      <c r="G45" s="52" t="str">
        <f ca="1">IFERROR(__xludf.DUMMYFUNCTION("""COMPUTED_VALUE"""),"https://docs.google.com/spreadsheets/d/1hk85jfDuqz_wh8tENGP7AqA_mg4ig8_1W93pf3G3t9o/edit?usp=drivesdk")</f>
        <v>https://docs.google.com/spreadsheets/d/1hk85jfDuqz_wh8tENGP7AqA_mg4ig8_1W93pf3G3t9o/edit?usp=drivesdk</v>
      </c>
      <c r="H45" s="2" t="str">
        <f ca="1">IFERROR(__xludf.DUMMYFUNCTION("""COMPUTED_VALUE"""),"'速報表示'!$I$1:$O")</f>
        <v>'速報表示'!$I$1:$O</v>
      </c>
    </row>
    <row r="46" spans="2:8" ht="12.5">
      <c r="B46" s="2"/>
      <c r="D46" s="2" t="str">
        <f ca="1">IFERROR(__xludf.DUMMYFUNCTION("""COMPUTED_VALUE"""),"シート45")</f>
        <v>シート45</v>
      </c>
      <c r="E46" s="2" t="str">
        <f ca="1">IFERROR(__xludf.DUMMYFUNCTION("""COMPUTED_VALUE"""),"D18級")</f>
        <v>D18級</v>
      </c>
      <c r="F46" s="2" t="str">
        <f ca="1">IFERROR(__xludf.DUMMYFUNCTION("""COMPUTED_VALUE"""),"速報")</f>
        <v>速報</v>
      </c>
      <c r="G46" s="52" t="str">
        <f ca="1">IFERROR(__xludf.DUMMYFUNCTION("""COMPUTED_VALUE"""),"https://docs.google.com/spreadsheets/d/1RFH2Av3Tm_RqpN0fq7wexCn0KQV4MwyE8G0TMvVJvrk/edit?usp=drivesdk")</f>
        <v>https://docs.google.com/spreadsheets/d/1RFH2Av3Tm_RqpN0fq7wexCn0KQV4MwyE8G0TMvVJvrk/edit?usp=drivesdk</v>
      </c>
      <c r="H46" s="2" t="str">
        <f ca="1">IFERROR(__xludf.DUMMYFUNCTION("""COMPUTED_VALUE"""),"'速報表示'!$I$1:$O")</f>
        <v>'速報表示'!$I$1:$O</v>
      </c>
    </row>
    <row r="47" spans="2:8" ht="12.5">
      <c r="B47" s="2"/>
      <c r="D47" s="2" t="str">
        <f ca="1">IFERROR(__xludf.DUMMYFUNCTION("""COMPUTED_VALUE"""),"シート46")</f>
        <v>シート46</v>
      </c>
      <c r="E47" s="2" t="str">
        <f ca="1">IFERROR(__xludf.DUMMYFUNCTION("""COMPUTED_VALUE"""),"D19級")</f>
        <v>D19級</v>
      </c>
      <c r="F47" s="2" t="str">
        <f ca="1">IFERROR(__xludf.DUMMYFUNCTION("""COMPUTED_VALUE"""),"速報")</f>
        <v>速報</v>
      </c>
      <c r="G47" s="52" t="str">
        <f ca="1">IFERROR(__xludf.DUMMYFUNCTION("""COMPUTED_VALUE"""),"https://docs.google.com/spreadsheets/d/1wdB09foCGcSEgmXzn5lY5OADXHxsBUS-pxrLXC1nu-Q/edit?usp=drivesdk")</f>
        <v>https://docs.google.com/spreadsheets/d/1wdB09foCGcSEgmXzn5lY5OADXHxsBUS-pxrLXC1nu-Q/edit?usp=drivesdk</v>
      </c>
      <c r="H47" s="2" t="str">
        <f ca="1">IFERROR(__xludf.DUMMYFUNCTION("""COMPUTED_VALUE"""),"'速報表示'!$I$1:$O")</f>
        <v>'速報表示'!$I$1:$O</v>
      </c>
    </row>
    <row r="48" spans="2:8" ht="12.5">
      <c r="B48" s="2"/>
      <c r="D48" s="2" t="str">
        <f ca="1">IFERROR(__xludf.DUMMYFUNCTION("""COMPUTED_VALUE"""),"シート47")</f>
        <v>シート47</v>
      </c>
      <c r="E48" s="2" t="str">
        <f ca="1">IFERROR(__xludf.DUMMYFUNCTION("""COMPUTED_VALUE"""),"D20級")</f>
        <v>D20級</v>
      </c>
      <c r="F48" s="2" t="str">
        <f ca="1">IFERROR(__xludf.DUMMYFUNCTION("""COMPUTED_VALUE"""),"速報")</f>
        <v>速報</v>
      </c>
      <c r="G48" s="52" t="str">
        <f ca="1">IFERROR(__xludf.DUMMYFUNCTION("""COMPUTED_VALUE"""),"https://docs.google.com/spreadsheets/d/1qhpJgbLW-03lJLEij2lbrPhbwEtA-SVE8xadNEN1eB8/edit?usp=drivesdk")</f>
        <v>https://docs.google.com/spreadsheets/d/1qhpJgbLW-03lJLEij2lbrPhbwEtA-SVE8xadNEN1eB8/edit?usp=drivesdk</v>
      </c>
      <c r="H48" s="2" t="str">
        <f ca="1">IFERROR(__xludf.DUMMYFUNCTION("""COMPUTED_VALUE"""),"'速報表示'!$I$1:$O")</f>
        <v>'速報表示'!$I$1:$O</v>
      </c>
    </row>
    <row r="49" spans="2:8" ht="12.5">
      <c r="B49" s="2"/>
      <c r="D49" s="2" t="str">
        <f ca="1">IFERROR(__xludf.DUMMYFUNCTION("""COMPUTED_VALUE"""),"シート48")</f>
        <v>シート48</v>
      </c>
      <c r="E49" s="2" t="str">
        <f ca="1">IFERROR(__xludf.DUMMYFUNCTION("""COMPUTED_VALUE"""),"D21級")</f>
        <v>D21級</v>
      </c>
      <c r="F49" s="2" t="str">
        <f ca="1">IFERROR(__xludf.DUMMYFUNCTION("""COMPUTED_VALUE"""),"速報")</f>
        <v>速報</v>
      </c>
      <c r="G49" s="52" t="str">
        <f ca="1">IFERROR(__xludf.DUMMYFUNCTION("""COMPUTED_VALUE"""),"https://docs.google.com/spreadsheets/d/1iv5IhTttMuqC6B8cGLWbbmBzp_wmEfY1OLYmviP9Da4/edit?usp=drivesdk")</f>
        <v>https://docs.google.com/spreadsheets/d/1iv5IhTttMuqC6B8cGLWbbmBzp_wmEfY1OLYmviP9Da4/edit?usp=drivesdk</v>
      </c>
      <c r="H49" s="2" t="str">
        <f ca="1">IFERROR(__xludf.DUMMYFUNCTION("""COMPUTED_VALUE"""),"'速報表示'!$I$1:$O")</f>
        <v>'速報表示'!$I$1:$O</v>
      </c>
    </row>
    <row r="50" spans="2:8" ht="12.5">
      <c r="B50" s="2"/>
      <c r="D50" s="2" t="str">
        <f ca="1">IFERROR(__xludf.DUMMYFUNCTION("""COMPUTED_VALUE"""),"シート49")</f>
        <v>シート49</v>
      </c>
      <c r="E50" s="2" t="str">
        <f ca="1">IFERROR(__xludf.DUMMYFUNCTION("""COMPUTED_VALUE"""),"D22級")</f>
        <v>D22級</v>
      </c>
      <c r="F50" s="2" t="str">
        <f ca="1">IFERROR(__xludf.DUMMYFUNCTION("""COMPUTED_VALUE"""),"速報")</f>
        <v>速報</v>
      </c>
      <c r="G50" s="52" t="str">
        <f ca="1">IFERROR(__xludf.DUMMYFUNCTION("""COMPUTED_VALUE"""),"https://docs.google.com/spreadsheets/d/1G-LdkZmi__DcqEqCiPbS_DD26_o6h1hQq85hPc2HPGM/edit?usp=drivesdk")</f>
        <v>https://docs.google.com/spreadsheets/d/1G-LdkZmi__DcqEqCiPbS_DD26_o6h1hQq85hPc2HPGM/edit?usp=drivesdk</v>
      </c>
      <c r="H50" s="2" t="str">
        <f ca="1">IFERROR(__xludf.DUMMYFUNCTION("""COMPUTED_VALUE"""),"'速報表示'!$I$1:$O")</f>
        <v>'速報表示'!$I$1:$O</v>
      </c>
    </row>
    <row r="51" spans="2:8" ht="12.5">
      <c r="B51" s="2"/>
      <c r="D51" s="2" t="str">
        <f ca="1">IFERROR(__xludf.DUMMYFUNCTION("""COMPUTED_VALUE"""),"シート50")</f>
        <v>シート50</v>
      </c>
      <c r="E51" s="2" t="str">
        <f ca="1">IFERROR(__xludf.DUMMYFUNCTION("""COMPUTED_VALUE"""),"D23級")</f>
        <v>D23級</v>
      </c>
      <c r="F51" s="2" t="str">
        <f ca="1">IFERROR(__xludf.DUMMYFUNCTION("""COMPUTED_VALUE"""),"速報")</f>
        <v>速報</v>
      </c>
      <c r="G51" s="52" t="str">
        <f ca="1">IFERROR(__xludf.DUMMYFUNCTION("""COMPUTED_VALUE"""),"https://docs.google.com/spreadsheets/d/1gPz1Y1GmQGycMevCJNUMZyUwzKto9LxZ7Q5zcSsfvZA/edit?usp=drivesdk")</f>
        <v>https://docs.google.com/spreadsheets/d/1gPz1Y1GmQGycMevCJNUMZyUwzKto9LxZ7Q5zcSsfvZA/edit?usp=drivesdk</v>
      </c>
      <c r="H51" s="2" t="str">
        <f ca="1">IFERROR(__xludf.DUMMYFUNCTION("""COMPUTED_VALUE"""),"'速報表示'!$I$1:$O")</f>
        <v>'速報表示'!$I$1:$O</v>
      </c>
    </row>
    <row r="52" spans="2:8" ht="12.5">
      <c r="B52" s="2"/>
    </row>
    <row r="53" spans="2:8" ht="12.5">
      <c r="B53" s="2"/>
    </row>
    <row r="54" spans="2:8" ht="12.5">
      <c r="B54" s="2"/>
    </row>
    <row r="55" spans="2:8" ht="12.5">
      <c r="B55" s="2"/>
    </row>
    <row r="56" spans="2:8" ht="12.5">
      <c r="B56" s="2"/>
    </row>
    <row r="57" spans="2:8" ht="12.5">
      <c r="B57" s="2"/>
    </row>
    <row r="58" spans="2:8" ht="12.5">
      <c r="B58" s="2"/>
    </row>
    <row r="59" spans="2:8" ht="12.5">
      <c r="B59" s="2"/>
    </row>
    <row r="60" spans="2:8" ht="12.5">
      <c r="B60" s="2"/>
    </row>
    <row r="61" spans="2:8" ht="12.5">
      <c r="B61" s="2"/>
    </row>
    <row r="62" spans="2:8" ht="12.5">
      <c r="B62" s="2"/>
    </row>
    <row r="63" spans="2:8" ht="12.5">
      <c r="B63" s="2"/>
    </row>
    <row r="64" spans="2:8" ht="12.5">
      <c r="B64" s="2"/>
    </row>
    <row r="65" spans="2:8" ht="12.5">
      <c r="B65" s="2"/>
    </row>
    <row r="66" spans="2:8" ht="12.5">
      <c r="B66" s="2"/>
    </row>
    <row r="67" spans="2:8" ht="12.5">
      <c r="B67" s="2"/>
    </row>
    <row r="68" spans="2:8" ht="12.5">
      <c r="B68" s="2"/>
    </row>
    <row r="69" spans="2:8" ht="12.5">
      <c r="B69" s="2"/>
    </row>
    <row r="70" spans="2:8" ht="12.5">
      <c r="B70" s="2"/>
    </row>
    <row r="71" spans="2:8" ht="12.5">
      <c r="B71" s="2"/>
    </row>
    <row r="72" spans="2:8" ht="12.5">
      <c r="B72" s="2"/>
      <c r="D72" s="3" t="str">
        <f ca="1">IFERROR(__xludf.DUMMYFUNCTION("FILTER(
  IMPORTRANGE(B5, ""_Setting_!B1:F70""),
  REGEXMATCH(IMPORTRANGE(B5, ""_Setting_!E1:E70""), ""https"")
)"),"シート1")</f>
        <v>シート1</v>
      </c>
      <c r="E72" s="2" t="str">
        <f ca="1">IFERROR(__xludf.DUMMYFUNCTION("""COMPUTED_VALUE"""),"A級名簿")</f>
        <v>A級名簿</v>
      </c>
      <c r="F72" s="2" t="str">
        <f ca="1">IFERROR(__xludf.DUMMYFUNCTION("""COMPUTED_VALUE"""),"名簿")</f>
        <v>名簿</v>
      </c>
      <c r="G72" s="52" t="str">
        <f ca="1">IFERROR(__xludf.DUMMYFUNCTION("""COMPUTED_VALUE"""),"https://docs.google.com/spreadsheets/d/1-MZXPnBl9Wd7h4bObvRFJS_pTN5mevdSF85b-j6AOzk/edit?usp=drivesdk")</f>
        <v>https://docs.google.com/spreadsheets/d/1-MZXPnBl9Wd7h4bObvRFJS_pTN5mevdSF85b-j6AOzk/edit?usp=drivesdk</v>
      </c>
      <c r="H72" s="2" t="str">
        <f ca="1">IFERROR(__xludf.DUMMYFUNCTION("""COMPUTED_VALUE"""),"'✏名簿'!$D$4:$E132")</f>
        <v>'✏名簿'!$D$4:$E132</v>
      </c>
    </row>
    <row r="73" spans="2:8" ht="12.5">
      <c r="B73" s="2"/>
      <c r="D73" s="2" t="str">
        <f ca="1">IFERROR(__xludf.DUMMYFUNCTION("""COMPUTED_VALUE"""),"シート2")</f>
        <v>シート2</v>
      </c>
      <c r="E73" s="2" t="str">
        <f ca="1">IFERROR(__xludf.DUMMYFUNCTION("""COMPUTED_VALUE"""),"B1級名簿")</f>
        <v>B1級名簿</v>
      </c>
      <c r="F73" s="2" t="str">
        <f ca="1">IFERROR(__xludf.DUMMYFUNCTION("""COMPUTED_VALUE"""),"名簿")</f>
        <v>名簿</v>
      </c>
      <c r="G73" s="52" t="str">
        <f ca="1">IFERROR(__xludf.DUMMYFUNCTION("""COMPUTED_VALUE"""),"https://docs.google.com/spreadsheets/d/1VeuF6GeKUOTGwzHO-LSfwI2za36ml_zaeYaL5o2Ghhk/edit?usp=drivesdk")</f>
        <v>https://docs.google.com/spreadsheets/d/1VeuF6GeKUOTGwzHO-LSfwI2za36ml_zaeYaL5o2Ghhk/edit?usp=drivesdk</v>
      </c>
      <c r="H73" s="2" t="str">
        <f ca="1">IFERROR(__xludf.DUMMYFUNCTION("""COMPUTED_VALUE"""),"'✏名簿'!$D$4:$E132")</f>
        <v>'✏名簿'!$D$4:$E132</v>
      </c>
    </row>
    <row r="74" spans="2:8" ht="12.5">
      <c r="B74" s="2"/>
      <c r="D74" s="2" t="str">
        <f ca="1">IFERROR(__xludf.DUMMYFUNCTION("""COMPUTED_VALUE"""),"シート3")</f>
        <v>シート3</v>
      </c>
      <c r="E74" s="2" t="str">
        <f ca="1">IFERROR(__xludf.DUMMYFUNCTION("""COMPUTED_VALUE"""),"B2級名簿")</f>
        <v>B2級名簿</v>
      </c>
      <c r="F74" s="2" t="str">
        <f ca="1">IFERROR(__xludf.DUMMYFUNCTION("""COMPUTED_VALUE"""),"名簿")</f>
        <v>名簿</v>
      </c>
      <c r="G74" s="52" t="str">
        <f ca="1">IFERROR(__xludf.DUMMYFUNCTION("""COMPUTED_VALUE"""),"https://docs.google.com/spreadsheets/d/1Vf0-Zf5QXkKWI5TXBv-pwobDXPRbtWrTvnpwUqYjTZA/edit?usp=drivesdk")</f>
        <v>https://docs.google.com/spreadsheets/d/1Vf0-Zf5QXkKWI5TXBv-pwobDXPRbtWrTvnpwUqYjTZA/edit?usp=drivesdk</v>
      </c>
      <c r="H74" s="2" t="str">
        <f ca="1">IFERROR(__xludf.DUMMYFUNCTION("""COMPUTED_VALUE"""),"'✏名簿'!$D$4:$E132")</f>
        <v>'✏名簿'!$D$4:$E132</v>
      </c>
    </row>
    <row r="75" spans="2:8" ht="12.5">
      <c r="B75" s="2"/>
      <c r="D75" s="2" t="str">
        <f ca="1">IFERROR(__xludf.DUMMYFUNCTION("""COMPUTED_VALUE"""),"シート4")</f>
        <v>シート4</v>
      </c>
      <c r="E75" s="2" t="str">
        <f ca="1">IFERROR(__xludf.DUMMYFUNCTION("""COMPUTED_VALUE"""),"B3級名簿")</f>
        <v>B3級名簿</v>
      </c>
      <c r="F75" s="2" t="str">
        <f ca="1">IFERROR(__xludf.DUMMYFUNCTION("""COMPUTED_VALUE"""),"名簿")</f>
        <v>名簿</v>
      </c>
      <c r="G75" s="52" t="str">
        <f ca="1">IFERROR(__xludf.DUMMYFUNCTION("""COMPUTED_VALUE"""),"https://docs.google.com/spreadsheets/d/1WxXyg78YgPjV2g6Maufr1gPhwjcIhEA2YlR7XoLSu-A/edit?usp=drivesdk")</f>
        <v>https://docs.google.com/spreadsheets/d/1WxXyg78YgPjV2g6Maufr1gPhwjcIhEA2YlR7XoLSu-A/edit?usp=drivesdk</v>
      </c>
      <c r="H75" s="2" t="str">
        <f ca="1">IFERROR(__xludf.DUMMYFUNCTION("""COMPUTED_VALUE"""),"'✏名簿'!$D$4:$E132")</f>
        <v>'✏名簿'!$D$4:$E132</v>
      </c>
    </row>
    <row r="76" spans="2:8" ht="12.5">
      <c r="B76" s="2"/>
      <c r="D76" s="2" t="str">
        <f ca="1">IFERROR(__xludf.DUMMYFUNCTION("""COMPUTED_VALUE"""),"シート5")</f>
        <v>シート5</v>
      </c>
      <c r="E76" s="2" t="str">
        <f ca="1">IFERROR(__xludf.DUMMYFUNCTION("""COMPUTED_VALUE"""),"B4級名簿")</f>
        <v>B4級名簿</v>
      </c>
      <c r="F76" s="2" t="str">
        <f ca="1">IFERROR(__xludf.DUMMYFUNCTION("""COMPUTED_VALUE"""),"名簿")</f>
        <v>名簿</v>
      </c>
      <c r="G76" s="52" t="str">
        <f ca="1">IFERROR(__xludf.DUMMYFUNCTION("""COMPUTED_VALUE"""),"https://docs.google.com/spreadsheets/d/1Kmvsurer_Lp6kV_gGHqAbBlz8HH6cFgI1dwAEnoNZ2g/edit?usp=drivesdk")</f>
        <v>https://docs.google.com/spreadsheets/d/1Kmvsurer_Lp6kV_gGHqAbBlz8HH6cFgI1dwAEnoNZ2g/edit?usp=drivesdk</v>
      </c>
      <c r="H76" s="2" t="str">
        <f ca="1">IFERROR(__xludf.DUMMYFUNCTION("""COMPUTED_VALUE"""),"'✏名簿'!$D$4:$E132")</f>
        <v>'✏名簿'!$D$4:$E132</v>
      </c>
    </row>
    <row r="77" spans="2:8" ht="12.5">
      <c r="B77" s="2"/>
      <c r="D77" s="2" t="str">
        <f ca="1">IFERROR(__xludf.DUMMYFUNCTION("""COMPUTED_VALUE"""),"シート6")</f>
        <v>シート6</v>
      </c>
      <c r="E77" s="2" t="str">
        <f ca="1">IFERROR(__xludf.DUMMYFUNCTION("""COMPUTED_VALUE"""),"B5級名簿")</f>
        <v>B5級名簿</v>
      </c>
      <c r="F77" s="2" t="str">
        <f ca="1">IFERROR(__xludf.DUMMYFUNCTION("""COMPUTED_VALUE"""),"名簿")</f>
        <v>名簿</v>
      </c>
      <c r="G77" s="52" t="str">
        <f ca="1">IFERROR(__xludf.DUMMYFUNCTION("""COMPUTED_VALUE"""),"https://docs.google.com/spreadsheets/d/19BIrSmulqEh9AXqKQdwgOUomd__wIypcOwldR9oSJtU/edit?usp=drivesdk")</f>
        <v>https://docs.google.com/spreadsheets/d/19BIrSmulqEh9AXqKQdwgOUomd__wIypcOwldR9oSJtU/edit?usp=drivesdk</v>
      </c>
      <c r="H77" s="2" t="str">
        <f ca="1">IFERROR(__xludf.DUMMYFUNCTION("""COMPUTED_VALUE"""),"'✏名簿'!$D$4:$E132")</f>
        <v>'✏名簿'!$D$4:$E132</v>
      </c>
    </row>
    <row r="78" spans="2:8" ht="12.5">
      <c r="B78" s="2"/>
      <c r="D78" s="2" t="str">
        <f ca="1">IFERROR(__xludf.DUMMYFUNCTION("""COMPUTED_VALUE"""),"シート7")</f>
        <v>シート7</v>
      </c>
      <c r="E78" s="2" t="str">
        <f ca="1">IFERROR(__xludf.DUMMYFUNCTION("""COMPUTED_VALUE"""),"C1級名簿")</f>
        <v>C1級名簿</v>
      </c>
      <c r="F78" s="2" t="str">
        <f ca="1">IFERROR(__xludf.DUMMYFUNCTION("""COMPUTED_VALUE"""),"名簿")</f>
        <v>名簿</v>
      </c>
      <c r="G78" s="52" t="str">
        <f ca="1">IFERROR(__xludf.DUMMYFUNCTION("""COMPUTED_VALUE"""),"https://docs.google.com/spreadsheets/d/1Km5q6etNZVJvUXvQt7MbAm1CiPgdgD3WbuBk-IEbltE/edit?usp=drivesdk")</f>
        <v>https://docs.google.com/spreadsheets/d/1Km5q6etNZVJvUXvQt7MbAm1CiPgdgD3WbuBk-IEbltE/edit?usp=drivesdk</v>
      </c>
      <c r="H78" s="2" t="str">
        <f ca="1">IFERROR(__xludf.DUMMYFUNCTION("""COMPUTED_VALUE"""),"'✏名簿'!$D$4:$E132")</f>
        <v>'✏名簿'!$D$4:$E132</v>
      </c>
    </row>
    <row r="79" spans="2:8" ht="12.5">
      <c r="B79" s="2"/>
      <c r="D79" s="2" t="str">
        <f ca="1">IFERROR(__xludf.DUMMYFUNCTION("""COMPUTED_VALUE"""),"シート8")</f>
        <v>シート8</v>
      </c>
      <c r="E79" s="2" t="str">
        <f ca="1">IFERROR(__xludf.DUMMYFUNCTION("""COMPUTED_VALUE"""),"C2級名簿")</f>
        <v>C2級名簿</v>
      </c>
      <c r="F79" s="2" t="str">
        <f ca="1">IFERROR(__xludf.DUMMYFUNCTION("""COMPUTED_VALUE"""),"名簿")</f>
        <v>名簿</v>
      </c>
      <c r="G79" s="52" t="str">
        <f ca="1">IFERROR(__xludf.DUMMYFUNCTION("""COMPUTED_VALUE"""),"https://docs.google.com/spreadsheets/d/1BhVSucEAj1wo7CpB5JE7KlLSrNVdFxF7YIoDXXy5DFo/edit?usp=drivesdk")</f>
        <v>https://docs.google.com/spreadsheets/d/1BhVSucEAj1wo7CpB5JE7KlLSrNVdFxF7YIoDXXy5DFo/edit?usp=drivesdk</v>
      </c>
      <c r="H79" s="2" t="str">
        <f ca="1">IFERROR(__xludf.DUMMYFUNCTION("""COMPUTED_VALUE"""),"'✏名簿'!$D$4:$E132")</f>
        <v>'✏名簿'!$D$4:$E132</v>
      </c>
    </row>
    <row r="80" spans="2:8" ht="12.5">
      <c r="B80" s="2"/>
      <c r="D80" s="2" t="str">
        <f ca="1">IFERROR(__xludf.DUMMYFUNCTION("""COMPUTED_VALUE"""),"シート9")</f>
        <v>シート9</v>
      </c>
      <c r="E80" s="2" t="str">
        <f ca="1">IFERROR(__xludf.DUMMYFUNCTION("""COMPUTED_VALUE"""),"C3級名簿")</f>
        <v>C3級名簿</v>
      </c>
      <c r="F80" s="2" t="str">
        <f ca="1">IFERROR(__xludf.DUMMYFUNCTION("""COMPUTED_VALUE"""),"名簿")</f>
        <v>名簿</v>
      </c>
      <c r="G80" s="52" t="str">
        <f ca="1">IFERROR(__xludf.DUMMYFUNCTION("""COMPUTED_VALUE"""),"https://docs.google.com/spreadsheets/d/1SjAdeb1zUMrHPIkdruy08Cdpv35GPoEXDjy8zscxEm4/edit?usp=drivesdk")</f>
        <v>https://docs.google.com/spreadsheets/d/1SjAdeb1zUMrHPIkdruy08Cdpv35GPoEXDjy8zscxEm4/edit?usp=drivesdk</v>
      </c>
      <c r="H80" s="2" t="str">
        <f ca="1">IFERROR(__xludf.DUMMYFUNCTION("""COMPUTED_VALUE"""),"'✏名簿'!$D$4:$E132")</f>
        <v>'✏名簿'!$D$4:$E132</v>
      </c>
    </row>
    <row r="81" spans="2:8" ht="12.5">
      <c r="B81" s="2"/>
      <c r="D81" s="2" t="str">
        <f ca="1">IFERROR(__xludf.DUMMYFUNCTION("""COMPUTED_VALUE"""),"シート10")</f>
        <v>シート10</v>
      </c>
      <c r="E81" s="2" t="str">
        <f ca="1">IFERROR(__xludf.DUMMYFUNCTION("""COMPUTED_VALUE"""),"C4級名簿")</f>
        <v>C4級名簿</v>
      </c>
      <c r="F81" s="2" t="str">
        <f ca="1">IFERROR(__xludf.DUMMYFUNCTION("""COMPUTED_VALUE"""),"名簿")</f>
        <v>名簿</v>
      </c>
      <c r="G81" s="52" t="str">
        <f ca="1">IFERROR(__xludf.DUMMYFUNCTION("""COMPUTED_VALUE"""),"https://docs.google.com/spreadsheets/d/16MGW4WNSw5JI3UfbJqM1hAKIbvqQRbo-41n08BX07BE/edit?usp=drivesdk")</f>
        <v>https://docs.google.com/spreadsheets/d/16MGW4WNSw5JI3UfbJqM1hAKIbvqQRbo-41n08BX07BE/edit?usp=drivesdk</v>
      </c>
      <c r="H81" s="2" t="str">
        <f ca="1">IFERROR(__xludf.DUMMYFUNCTION("""COMPUTED_VALUE"""),"'✏名簿'!$D$4:$E132")</f>
        <v>'✏名簿'!$D$4:$E132</v>
      </c>
    </row>
    <row r="82" spans="2:8" ht="12.5">
      <c r="B82" s="2"/>
      <c r="D82" s="2" t="str">
        <f ca="1">IFERROR(__xludf.DUMMYFUNCTION("""COMPUTED_VALUE"""),"シート11")</f>
        <v>シート11</v>
      </c>
      <c r="E82" s="2" t="str">
        <f ca="1">IFERROR(__xludf.DUMMYFUNCTION("""COMPUTED_VALUE"""),"C5級名簿")</f>
        <v>C5級名簿</v>
      </c>
      <c r="F82" s="2" t="str">
        <f ca="1">IFERROR(__xludf.DUMMYFUNCTION("""COMPUTED_VALUE"""),"名簿")</f>
        <v>名簿</v>
      </c>
      <c r="G82" s="52" t="str">
        <f ca="1">IFERROR(__xludf.DUMMYFUNCTION("""COMPUTED_VALUE"""),"https://docs.google.com/spreadsheets/d/1M5eBktJ24jwZP15Z9GXIyy6b6T9ksZfU-CGiztfx2Zc/edit?usp=drivesdk")</f>
        <v>https://docs.google.com/spreadsheets/d/1M5eBktJ24jwZP15Z9GXIyy6b6T9ksZfU-CGiztfx2Zc/edit?usp=drivesdk</v>
      </c>
      <c r="H82" s="2" t="str">
        <f ca="1">IFERROR(__xludf.DUMMYFUNCTION("""COMPUTED_VALUE"""),"'✏名簿'!$D$4:$E132")</f>
        <v>'✏名簿'!$D$4:$E132</v>
      </c>
    </row>
    <row r="83" spans="2:8" ht="12.5">
      <c r="B83" s="2"/>
      <c r="D83" s="2" t="str">
        <f ca="1">IFERROR(__xludf.DUMMYFUNCTION("""COMPUTED_VALUE"""),"シート12")</f>
        <v>シート12</v>
      </c>
      <c r="E83" s="2" t="str">
        <f ca="1">IFERROR(__xludf.DUMMYFUNCTION("""COMPUTED_VALUE"""),"C6級名簿")</f>
        <v>C6級名簿</v>
      </c>
      <c r="F83" s="2" t="str">
        <f ca="1">IFERROR(__xludf.DUMMYFUNCTION("""COMPUTED_VALUE"""),"名簿")</f>
        <v>名簿</v>
      </c>
      <c r="G83" s="52" t="str">
        <f ca="1">IFERROR(__xludf.DUMMYFUNCTION("""COMPUTED_VALUE"""),"https://docs.google.com/spreadsheets/d/1sNqCLS4ouDciEDu87MuB-7sr2veWtiBMKHhj8Ce0C4M/edit?usp=drivesdk")</f>
        <v>https://docs.google.com/spreadsheets/d/1sNqCLS4ouDciEDu87MuB-7sr2veWtiBMKHhj8Ce0C4M/edit?usp=drivesdk</v>
      </c>
      <c r="H83" s="2" t="str">
        <f ca="1">IFERROR(__xludf.DUMMYFUNCTION("""COMPUTED_VALUE"""),"'✏名簿'!$D$4:$E132")</f>
        <v>'✏名簿'!$D$4:$E132</v>
      </c>
    </row>
    <row r="84" spans="2:8" ht="12.5">
      <c r="B84" s="2"/>
      <c r="D84" s="2" t="str">
        <f ca="1">IFERROR(__xludf.DUMMYFUNCTION("""COMPUTED_VALUE"""),"シート13")</f>
        <v>シート13</v>
      </c>
      <c r="E84" s="2" t="str">
        <f ca="1">IFERROR(__xludf.DUMMYFUNCTION("""COMPUTED_VALUE"""),"C7級名簿")</f>
        <v>C7級名簿</v>
      </c>
      <c r="F84" s="2" t="str">
        <f ca="1">IFERROR(__xludf.DUMMYFUNCTION("""COMPUTED_VALUE"""),"名簿")</f>
        <v>名簿</v>
      </c>
      <c r="G84" s="52" t="str">
        <f ca="1">IFERROR(__xludf.DUMMYFUNCTION("""COMPUTED_VALUE"""),"https://docs.google.com/spreadsheets/d/11Ii-qxGsj-laNAFvL8sxd3sw0FfHuY-_L8GiFn6IXHg/edit?usp=drivesdk")</f>
        <v>https://docs.google.com/spreadsheets/d/11Ii-qxGsj-laNAFvL8sxd3sw0FfHuY-_L8GiFn6IXHg/edit?usp=drivesdk</v>
      </c>
      <c r="H84" s="2" t="str">
        <f ca="1">IFERROR(__xludf.DUMMYFUNCTION("""COMPUTED_VALUE"""),"'✏名簿'!$D$4:$E132")</f>
        <v>'✏名簿'!$D$4:$E132</v>
      </c>
    </row>
    <row r="85" spans="2:8" ht="12.5">
      <c r="B85" s="2"/>
      <c r="D85" s="2" t="str">
        <f ca="1">IFERROR(__xludf.DUMMYFUNCTION("""COMPUTED_VALUE"""),"シート14")</f>
        <v>シート14</v>
      </c>
      <c r="E85" s="2" t="str">
        <f ca="1">IFERROR(__xludf.DUMMYFUNCTION("""COMPUTED_VALUE"""),"C8級名簿")</f>
        <v>C8級名簿</v>
      </c>
      <c r="F85" s="2" t="str">
        <f ca="1">IFERROR(__xludf.DUMMYFUNCTION("""COMPUTED_VALUE"""),"名簿")</f>
        <v>名簿</v>
      </c>
      <c r="G85" s="52" t="str">
        <f ca="1">IFERROR(__xludf.DUMMYFUNCTION("""COMPUTED_VALUE"""),"https://docs.google.com/spreadsheets/d/1M7TRvgVNWBLpyTEKRxOwK6LgCwakMitz7S6B-mW1QVo/edit?usp=drivesdk")</f>
        <v>https://docs.google.com/spreadsheets/d/1M7TRvgVNWBLpyTEKRxOwK6LgCwakMitz7S6B-mW1QVo/edit?usp=drivesdk</v>
      </c>
      <c r="H85" s="2" t="str">
        <f ca="1">IFERROR(__xludf.DUMMYFUNCTION("""COMPUTED_VALUE"""),"'✏名簿'!$D$4:$E132")</f>
        <v>'✏名簿'!$D$4:$E132</v>
      </c>
    </row>
    <row r="86" spans="2:8" ht="12.5">
      <c r="B86" s="2"/>
      <c r="D86" s="2" t="str">
        <f ca="1">IFERROR(__xludf.DUMMYFUNCTION("""COMPUTED_VALUE"""),"シート15")</f>
        <v>シート15</v>
      </c>
      <c r="E86" s="2" t="str">
        <f ca="1">IFERROR(__xludf.DUMMYFUNCTION("""COMPUTED_VALUE"""),"C9級名簿")</f>
        <v>C9級名簿</v>
      </c>
      <c r="F86" s="2" t="str">
        <f ca="1">IFERROR(__xludf.DUMMYFUNCTION("""COMPUTED_VALUE"""),"名簿")</f>
        <v>名簿</v>
      </c>
      <c r="G86" s="52" t="str">
        <f ca="1">IFERROR(__xludf.DUMMYFUNCTION("""COMPUTED_VALUE"""),"https://docs.google.com/spreadsheets/d/1QWMxzYY9-ggGQqsSN5-2Zj1l5akdKTTeaGM-X3nkvK4/edit?usp=drivesdk")</f>
        <v>https://docs.google.com/spreadsheets/d/1QWMxzYY9-ggGQqsSN5-2Zj1l5akdKTTeaGM-X3nkvK4/edit?usp=drivesdk</v>
      </c>
      <c r="H86" s="2" t="str">
        <f ca="1">IFERROR(__xludf.DUMMYFUNCTION("""COMPUTED_VALUE"""),"'✏名簿'!$D$4:$E132")</f>
        <v>'✏名簿'!$D$4:$E132</v>
      </c>
    </row>
    <row r="87" spans="2:8" ht="12.5">
      <c r="B87" s="2"/>
      <c r="D87" s="2" t="str">
        <f ca="1">IFERROR(__xludf.DUMMYFUNCTION("""COMPUTED_VALUE"""),"シート16")</f>
        <v>シート16</v>
      </c>
      <c r="E87" s="2" t="str">
        <f ca="1">IFERROR(__xludf.DUMMYFUNCTION("""COMPUTED_VALUE"""),"C10級名簿")</f>
        <v>C10級名簿</v>
      </c>
      <c r="F87" s="2" t="str">
        <f ca="1">IFERROR(__xludf.DUMMYFUNCTION("""COMPUTED_VALUE"""),"名簿")</f>
        <v>名簿</v>
      </c>
      <c r="G87" s="52" t="str">
        <f ca="1">IFERROR(__xludf.DUMMYFUNCTION("""COMPUTED_VALUE"""),"https://docs.google.com/spreadsheets/d/1u5EkAfQgN-3SlSU8zM8jDrtRH35bUPYYSXIFnmO7pYY/edit?usp=drivesdk")</f>
        <v>https://docs.google.com/spreadsheets/d/1u5EkAfQgN-3SlSU8zM8jDrtRH35bUPYYSXIFnmO7pYY/edit?usp=drivesdk</v>
      </c>
      <c r="H87" s="2" t="str">
        <f ca="1">IFERROR(__xludf.DUMMYFUNCTION("""COMPUTED_VALUE"""),"'✏名簿'!$D$4:$E132")</f>
        <v>'✏名簿'!$D$4:$E132</v>
      </c>
    </row>
    <row r="88" spans="2:8" ht="12.5">
      <c r="B88" s="2"/>
      <c r="D88" s="2" t="str">
        <f ca="1">IFERROR(__xludf.DUMMYFUNCTION("""COMPUTED_VALUE"""),"シート17")</f>
        <v>シート17</v>
      </c>
      <c r="E88" s="2" t="str">
        <f ca="1">IFERROR(__xludf.DUMMYFUNCTION("""COMPUTED_VALUE"""),"C11級名簿")</f>
        <v>C11級名簿</v>
      </c>
      <c r="F88" s="2" t="str">
        <f ca="1">IFERROR(__xludf.DUMMYFUNCTION("""COMPUTED_VALUE"""),"名簿")</f>
        <v>名簿</v>
      </c>
      <c r="G88" s="52" t="str">
        <f ca="1">IFERROR(__xludf.DUMMYFUNCTION("""COMPUTED_VALUE"""),"https://docs.google.com/spreadsheets/d/1DRvYYIfoAjZe-UdmMcKlpTA9xwpDShbwvBMpEGxk378/edit?usp=drivesdk")</f>
        <v>https://docs.google.com/spreadsheets/d/1DRvYYIfoAjZe-UdmMcKlpTA9xwpDShbwvBMpEGxk378/edit?usp=drivesdk</v>
      </c>
      <c r="H88" s="2" t="str">
        <f ca="1">IFERROR(__xludf.DUMMYFUNCTION("""COMPUTED_VALUE"""),"'✏名簿'!$D$4:$E132")</f>
        <v>'✏名簿'!$D$4:$E132</v>
      </c>
    </row>
    <row r="89" spans="2:8" ht="12.5">
      <c r="B89" s="2"/>
      <c r="D89" s="2" t="str">
        <f ca="1">IFERROR(__xludf.DUMMYFUNCTION("""COMPUTED_VALUE"""),"シート18")</f>
        <v>シート18</v>
      </c>
      <c r="E89" s="2" t="str">
        <f ca="1">IFERROR(__xludf.DUMMYFUNCTION("""COMPUTED_VALUE"""),"C12級名簿")</f>
        <v>C12級名簿</v>
      </c>
      <c r="F89" s="2" t="str">
        <f ca="1">IFERROR(__xludf.DUMMYFUNCTION("""COMPUTED_VALUE"""),"名簿")</f>
        <v>名簿</v>
      </c>
      <c r="G89" s="52" t="str">
        <f ca="1">IFERROR(__xludf.DUMMYFUNCTION("""COMPUTED_VALUE"""),"https://docs.google.com/spreadsheets/d/13tzA1ktx5PEp-qtKszyaWBlwGMM3wHaqvNnkZZOl2zk/edit?usp=drivesdk")</f>
        <v>https://docs.google.com/spreadsheets/d/13tzA1ktx5PEp-qtKszyaWBlwGMM3wHaqvNnkZZOl2zk/edit?usp=drivesdk</v>
      </c>
      <c r="H89" s="2" t="str">
        <f ca="1">IFERROR(__xludf.DUMMYFUNCTION("""COMPUTED_VALUE"""),"'✏名簿'!$D$4:$E132")</f>
        <v>'✏名簿'!$D$4:$E132</v>
      </c>
    </row>
    <row r="90" spans="2:8" ht="12.5">
      <c r="B90" s="2"/>
      <c r="D90" s="2" t="str">
        <f ca="1">IFERROR(__xludf.DUMMYFUNCTION("""COMPUTED_VALUE"""),"シート19")</f>
        <v>シート19</v>
      </c>
      <c r="E90" s="2" t="str">
        <f ca="1">IFERROR(__xludf.DUMMYFUNCTION("""COMPUTED_VALUE"""),"C13級名簿")</f>
        <v>C13級名簿</v>
      </c>
      <c r="F90" s="2" t="str">
        <f ca="1">IFERROR(__xludf.DUMMYFUNCTION("""COMPUTED_VALUE"""),"名簿")</f>
        <v>名簿</v>
      </c>
      <c r="G90" s="52" t="str">
        <f ca="1">IFERROR(__xludf.DUMMYFUNCTION("""COMPUTED_VALUE"""),"https://docs.google.com/spreadsheets/d/1Ktp6iyvl-kklS-MZfUJ_MykMhrGukOUaNxw9FzKCxl4/edit?usp=drivesdk")</f>
        <v>https://docs.google.com/spreadsheets/d/1Ktp6iyvl-kklS-MZfUJ_MykMhrGukOUaNxw9FzKCxl4/edit?usp=drivesdk</v>
      </c>
      <c r="H90" s="2" t="str">
        <f ca="1">IFERROR(__xludf.DUMMYFUNCTION("""COMPUTED_VALUE"""),"'✏名簿'!$D$4:$E132")</f>
        <v>'✏名簿'!$D$4:$E132</v>
      </c>
    </row>
    <row r="91" spans="2:8" ht="12.5">
      <c r="B91" s="2"/>
      <c r="D91" s="2" t="str">
        <f ca="1">IFERROR(__xludf.DUMMYFUNCTION("""COMPUTED_VALUE"""),"シート20")</f>
        <v>シート20</v>
      </c>
      <c r="E91" s="2" t="str">
        <f ca="1">IFERROR(__xludf.DUMMYFUNCTION("""COMPUTED_VALUE"""),"C14級名簿")</f>
        <v>C14級名簿</v>
      </c>
      <c r="F91" s="2" t="str">
        <f ca="1">IFERROR(__xludf.DUMMYFUNCTION("""COMPUTED_VALUE"""),"名簿")</f>
        <v>名簿</v>
      </c>
      <c r="G91" s="52" t="str">
        <f ca="1">IFERROR(__xludf.DUMMYFUNCTION("""COMPUTED_VALUE"""),"https://docs.google.com/spreadsheets/d/1OpwR9I7hNZuzbsQkD0Z7-U6ojcQ0hskrVeExjZie4ss/edit?usp=drivesdk")</f>
        <v>https://docs.google.com/spreadsheets/d/1OpwR9I7hNZuzbsQkD0Z7-U6ojcQ0hskrVeExjZie4ss/edit?usp=drivesdk</v>
      </c>
      <c r="H91" s="2" t="str">
        <f ca="1">IFERROR(__xludf.DUMMYFUNCTION("""COMPUTED_VALUE"""),"'✏名簿'!$D$4:$E132")</f>
        <v>'✏名簿'!$D$4:$E132</v>
      </c>
    </row>
    <row r="92" spans="2:8" ht="12.5">
      <c r="B92" s="2"/>
      <c r="D92" s="2" t="str">
        <f ca="1">IFERROR(__xludf.DUMMYFUNCTION("""COMPUTED_VALUE"""),"シート21")</f>
        <v>シート21</v>
      </c>
      <c r="E92" s="2" t="str">
        <f ca="1">IFERROR(__xludf.DUMMYFUNCTION("""COMPUTED_VALUE"""),"C15級名簿")</f>
        <v>C15級名簿</v>
      </c>
      <c r="F92" s="2" t="str">
        <f ca="1">IFERROR(__xludf.DUMMYFUNCTION("""COMPUTED_VALUE"""),"名簿")</f>
        <v>名簿</v>
      </c>
      <c r="G92" s="52" t="str">
        <f ca="1">IFERROR(__xludf.DUMMYFUNCTION("""COMPUTED_VALUE"""),"https://docs.google.com/spreadsheets/d/1eHJHU2oBK2I2_UbwVQ-Nyb61XUPORAGjjcTRClr09ss/edit?usp=drivesdk")</f>
        <v>https://docs.google.com/spreadsheets/d/1eHJHU2oBK2I2_UbwVQ-Nyb61XUPORAGjjcTRClr09ss/edit?usp=drivesdk</v>
      </c>
      <c r="H92" s="2" t="str">
        <f ca="1">IFERROR(__xludf.DUMMYFUNCTION("""COMPUTED_VALUE"""),"'✏名簿'!$D$4:$E132")</f>
        <v>'✏名簿'!$D$4:$E132</v>
      </c>
    </row>
    <row r="93" spans="2:8" ht="12.5">
      <c r="B93" s="2"/>
      <c r="D93" s="2" t="str">
        <f ca="1">IFERROR(__xludf.DUMMYFUNCTION("""COMPUTED_VALUE"""),"シート22")</f>
        <v>シート22</v>
      </c>
      <c r="E93" s="2" t="str">
        <f ca="1">IFERROR(__xludf.DUMMYFUNCTION("""COMPUTED_VALUE"""),"C16級名簿")</f>
        <v>C16級名簿</v>
      </c>
      <c r="F93" s="2" t="str">
        <f ca="1">IFERROR(__xludf.DUMMYFUNCTION("""COMPUTED_VALUE"""),"名簿")</f>
        <v>名簿</v>
      </c>
      <c r="G93" s="52" t="str">
        <f ca="1">IFERROR(__xludf.DUMMYFUNCTION("""COMPUTED_VALUE"""),"https://docs.google.com/spreadsheets/d/1urW4NW7aifLlnWw_WI2EYfqcHUwalIMX3pJSpuU6CTI/edit?usp=drivesdk")</f>
        <v>https://docs.google.com/spreadsheets/d/1urW4NW7aifLlnWw_WI2EYfqcHUwalIMX3pJSpuU6CTI/edit?usp=drivesdk</v>
      </c>
      <c r="H93" s="2" t="str">
        <f ca="1">IFERROR(__xludf.DUMMYFUNCTION("""COMPUTED_VALUE"""),"'✏名簿'!$D$4:$E132")</f>
        <v>'✏名簿'!$D$4:$E132</v>
      </c>
    </row>
    <row r="94" spans="2:8" ht="12.5">
      <c r="B94" s="2"/>
      <c r="D94" s="2" t="str">
        <f ca="1">IFERROR(__xludf.DUMMYFUNCTION("""COMPUTED_VALUE"""),"シート23")</f>
        <v>シート23</v>
      </c>
      <c r="E94" s="2" t="str">
        <f ca="1">IFERROR(__xludf.DUMMYFUNCTION("""COMPUTED_VALUE"""),"C17級名簿")</f>
        <v>C17級名簿</v>
      </c>
      <c r="F94" s="2" t="str">
        <f ca="1">IFERROR(__xludf.DUMMYFUNCTION("""COMPUTED_VALUE"""),"名簿")</f>
        <v>名簿</v>
      </c>
      <c r="G94" s="52" t="str">
        <f ca="1">IFERROR(__xludf.DUMMYFUNCTION("""COMPUTED_VALUE"""),"https://docs.google.com/spreadsheets/d/1Yi8rj5sGpnDAdLnDztruq1OQTmBExzLf6R57V3wm3zY/edit?usp=drivesdk")</f>
        <v>https://docs.google.com/spreadsheets/d/1Yi8rj5sGpnDAdLnDztruq1OQTmBExzLf6R57V3wm3zY/edit?usp=drivesdk</v>
      </c>
      <c r="H94" s="2" t="str">
        <f ca="1">IFERROR(__xludf.DUMMYFUNCTION("""COMPUTED_VALUE"""),"'✏名簿'!$D$4:$E132")</f>
        <v>'✏名簿'!$D$4:$E132</v>
      </c>
    </row>
    <row r="95" spans="2:8" ht="12.5">
      <c r="B95" s="2"/>
      <c r="D95" s="2" t="str">
        <f ca="1">IFERROR(__xludf.DUMMYFUNCTION("""COMPUTED_VALUE"""),"シート24")</f>
        <v>シート24</v>
      </c>
      <c r="E95" s="2" t="str">
        <f ca="1">IFERROR(__xludf.DUMMYFUNCTION("""COMPUTED_VALUE"""),"C18級名簿")</f>
        <v>C18級名簿</v>
      </c>
      <c r="F95" s="2" t="str">
        <f ca="1">IFERROR(__xludf.DUMMYFUNCTION("""COMPUTED_VALUE"""),"名簿")</f>
        <v>名簿</v>
      </c>
      <c r="G95" s="52" t="str">
        <f ca="1">IFERROR(__xludf.DUMMYFUNCTION("""COMPUTED_VALUE"""),"https://docs.google.com/spreadsheets/d/1_1cOeimbnamQ3N5wYwa3h59ugQ3VU1w7gBsjeAdeRZM/edit?usp=drivesdk")</f>
        <v>https://docs.google.com/spreadsheets/d/1_1cOeimbnamQ3N5wYwa3h59ugQ3VU1w7gBsjeAdeRZM/edit?usp=drivesdk</v>
      </c>
      <c r="H95" s="2" t="str">
        <f ca="1">IFERROR(__xludf.DUMMYFUNCTION("""COMPUTED_VALUE"""),"'✏名簿'!$D$4:$E132")</f>
        <v>'✏名簿'!$D$4:$E132</v>
      </c>
    </row>
    <row r="96" spans="2:8" ht="12.5">
      <c r="B96" s="2"/>
      <c r="D96" s="2" t="str">
        <f ca="1">IFERROR(__xludf.DUMMYFUNCTION("""COMPUTED_VALUE"""),"シート25")</f>
        <v>シート25</v>
      </c>
      <c r="E96" s="2" t="str">
        <f ca="1">IFERROR(__xludf.DUMMYFUNCTION("""COMPUTED_VALUE"""),"C19級名簿")</f>
        <v>C19級名簿</v>
      </c>
      <c r="F96" s="2" t="str">
        <f ca="1">IFERROR(__xludf.DUMMYFUNCTION("""COMPUTED_VALUE"""),"名簿")</f>
        <v>名簿</v>
      </c>
      <c r="G96" s="52" t="str">
        <f ca="1">IFERROR(__xludf.DUMMYFUNCTION("""COMPUTED_VALUE"""),"https://docs.google.com/spreadsheets/d/1GQIqFioSRCUcLIxfjMk2KYEEUU8xAo_KfKuIQA1mJDU/edit?usp=drivesdk")</f>
        <v>https://docs.google.com/spreadsheets/d/1GQIqFioSRCUcLIxfjMk2KYEEUU8xAo_KfKuIQA1mJDU/edit?usp=drivesdk</v>
      </c>
      <c r="H96" s="2" t="str">
        <f ca="1">IFERROR(__xludf.DUMMYFUNCTION("""COMPUTED_VALUE"""),"'✏名簿'!$D$4:$E132")</f>
        <v>'✏名簿'!$D$4:$E132</v>
      </c>
    </row>
    <row r="97" spans="2:8" ht="12.5">
      <c r="B97" s="2"/>
      <c r="D97" s="2" t="str">
        <f ca="1">IFERROR(__xludf.DUMMYFUNCTION("""COMPUTED_VALUE"""),"シート26")</f>
        <v>シート26</v>
      </c>
      <c r="E97" s="2" t="str">
        <f ca="1">IFERROR(__xludf.DUMMYFUNCTION("""COMPUTED_VALUE"""),"C20級名簿")</f>
        <v>C20級名簿</v>
      </c>
      <c r="F97" s="2" t="str">
        <f ca="1">IFERROR(__xludf.DUMMYFUNCTION("""COMPUTED_VALUE"""),"名簿")</f>
        <v>名簿</v>
      </c>
      <c r="G97" s="52" t="str">
        <f ca="1">IFERROR(__xludf.DUMMYFUNCTION("""COMPUTED_VALUE"""),"https://docs.google.com/spreadsheets/d/1whaRso4QpeV0nmGqpcUOuUD2VziIUI3bPpcBU98CuJw/edit?usp=drivesdk")</f>
        <v>https://docs.google.com/spreadsheets/d/1whaRso4QpeV0nmGqpcUOuUD2VziIUI3bPpcBU98CuJw/edit?usp=drivesdk</v>
      </c>
      <c r="H97" s="2" t="str">
        <f ca="1">IFERROR(__xludf.DUMMYFUNCTION("""COMPUTED_VALUE"""),"'✏名簿'!$D$4:$E132")</f>
        <v>'✏名簿'!$D$4:$E132</v>
      </c>
    </row>
    <row r="98" spans="2:8" ht="12.5">
      <c r="B98" s="2"/>
      <c r="D98" s="2" t="str">
        <f ca="1">IFERROR(__xludf.DUMMYFUNCTION("""COMPUTED_VALUE"""),"シート27")</f>
        <v>シート27</v>
      </c>
      <c r="E98" s="2" t="str">
        <f ca="1">IFERROR(__xludf.DUMMYFUNCTION("""COMPUTED_VALUE"""),"C21級名簿")</f>
        <v>C21級名簿</v>
      </c>
      <c r="F98" s="2" t="str">
        <f ca="1">IFERROR(__xludf.DUMMYFUNCTION("""COMPUTED_VALUE"""),"名簿")</f>
        <v>名簿</v>
      </c>
      <c r="G98" s="52" t="str">
        <f ca="1">IFERROR(__xludf.DUMMYFUNCTION("""COMPUTED_VALUE"""),"https://docs.google.com/spreadsheets/d/1PmKkTSPgPf4_6waZYYpTJf24L28th49KA7jBRB7SRvs/edit?usp=drivesdk")</f>
        <v>https://docs.google.com/spreadsheets/d/1PmKkTSPgPf4_6waZYYpTJf24L28th49KA7jBRB7SRvs/edit?usp=drivesdk</v>
      </c>
      <c r="H98" s="2" t="str">
        <f ca="1">IFERROR(__xludf.DUMMYFUNCTION("""COMPUTED_VALUE"""),"'✏名簿'!$D$4:$E132")</f>
        <v>'✏名簿'!$D$4:$E132</v>
      </c>
    </row>
    <row r="99" spans="2:8" ht="12.5">
      <c r="B99" s="2"/>
      <c r="D99" s="2" t="str">
        <f ca="1">IFERROR(__xludf.DUMMYFUNCTION("""COMPUTED_VALUE"""),"シート28")</f>
        <v>シート28</v>
      </c>
      <c r="E99" s="2" t="str">
        <f ca="1">IFERROR(__xludf.DUMMYFUNCTION("""COMPUTED_VALUE"""),"D1級名簿")</f>
        <v>D1級名簿</v>
      </c>
      <c r="F99" s="2" t="str">
        <f ca="1">IFERROR(__xludf.DUMMYFUNCTION("""COMPUTED_VALUE"""),"名簿")</f>
        <v>名簿</v>
      </c>
      <c r="G99" s="52" t="str">
        <f ca="1">IFERROR(__xludf.DUMMYFUNCTION("""COMPUTED_VALUE"""),"https://docs.google.com/spreadsheets/d/1PMmqzKQovq-E4y36JxV5Bqx4lL1en5xNeWb7VCXXOv0/edit?usp=drivesdk")</f>
        <v>https://docs.google.com/spreadsheets/d/1PMmqzKQovq-E4y36JxV5Bqx4lL1en5xNeWb7VCXXOv0/edit?usp=drivesdk</v>
      </c>
      <c r="H99" s="2" t="str">
        <f ca="1">IFERROR(__xludf.DUMMYFUNCTION("""COMPUTED_VALUE"""),"'✏名簿'!$D$4:$E132")</f>
        <v>'✏名簿'!$D$4:$E132</v>
      </c>
    </row>
    <row r="100" spans="2:8" ht="12.5">
      <c r="B100" s="2"/>
      <c r="D100" s="2" t="str">
        <f ca="1">IFERROR(__xludf.DUMMYFUNCTION("""COMPUTED_VALUE"""),"シート29")</f>
        <v>シート29</v>
      </c>
      <c r="E100" s="2" t="str">
        <f ca="1">IFERROR(__xludf.DUMMYFUNCTION("""COMPUTED_VALUE"""),"D2級名簿")</f>
        <v>D2級名簿</v>
      </c>
      <c r="F100" s="2" t="str">
        <f ca="1">IFERROR(__xludf.DUMMYFUNCTION("""COMPUTED_VALUE"""),"名簿")</f>
        <v>名簿</v>
      </c>
      <c r="G100" s="52" t="str">
        <f ca="1">IFERROR(__xludf.DUMMYFUNCTION("""COMPUTED_VALUE"""),"https://docs.google.com/spreadsheets/d/1Ywu097SnBg4bqYCvL05URfJg_Sm47GGfMftcw-3PlAc/edit?usp=drivesdk")</f>
        <v>https://docs.google.com/spreadsheets/d/1Ywu097SnBg4bqYCvL05URfJg_Sm47GGfMftcw-3PlAc/edit?usp=drivesdk</v>
      </c>
      <c r="H100" s="2" t="str">
        <f ca="1">IFERROR(__xludf.DUMMYFUNCTION("""COMPUTED_VALUE"""),"'✏名簿'!$D$4:$E132")</f>
        <v>'✏名簿'!$D$4:$E132</v>
      </c>
    </row>
    <row r="101" spans="2:8" ht="12.5">
      <c r="B101" s="2"/>
      <c r="D101" s="2" t="str">
        <f ca="1">IFERROR(__xludf.DUMMYFUNCTION("""COMPUTED_VALUE"""),"シート30")</f>
        <v>シート30</v>
      </c>
      <c r="E101" s="2" t="str">
        <f ca="1">IFERROR(__xludf.DUMMYFUNCTION("""COMPUTED_VALUE"""),"D3級名簿")</f>
        <v>D3級名簿</v>
      </c>
      <c r="F101" s="2" t="str">
        <f ca="1">IFERROR(__xludf.DUMMYFUNCTION("""COMPUTED_VALUE"""),"名簿")</f>
        <v>名簿</v>
      </c>
      <c r="G101" s="52" t="str">
        <f ca="1">IFERROR(__xludf.DUMMYFUNCTION("""COMPUTED_VALUE"""),"https://docs.google.com/spreadsheets/d/1ib6lAJGS0APjKXxC__0UonPM1KszUjR5OyENwSJha2k/edit?usp=drivesdk")</f>
        <v>https://docs.google.com/spreadsheets/d/1ib6lAJGS0APjKXxC__0UonPM1KszUjR5OyENwSJha2k/edit?usp=drivesdk</v>
      </c>
      <c r="H101" s="2" t="str">
        <f ca="1">IFERROR(__xludf.DUMMYFUNCTION("""COMPUTED_VALUE"""),"'✏名簿'!$D$4:$E132")</f>
        <v>'✏名簿'!$D$4:$E132</v>
      </c>
    </row>
    <row r="102" spans="2:8" ht="12.5">
      <c r="B102" s="2"/>
      <c r="D102" s="2" t="str">
        <f ca="1">IFERROR(__xludf.DUMMYFUNCTION("""COMPUTED_VALUE"""),"シート31")</f>
        <v>シート31</v>
      </c>
      <c r="E102" s="2" t="str">
        <f ca="1">IFERROR(__xludf.DUMMYFUNCTION("""COMPUTED_VALUE"""),"D4級名簿")</f>
        <v>D4級名簿</v>
      </c>
      <c r="F102" s="2" t="str">
        <f ca="1">IFERROR(__xludf.DUMMYFUNCTION("""COMPUTED_VALUE"""),"名簿")</f>
        <v>名簿</v>
      </c>
      <c r="G102" s="52" t="str">
        <f ca="1">IFERROR(__xludf.DUMMYFUNCTION("""COMPUTED_VALUE"""),"https://docs.google.com/spreadsheets/d/1DuYtuOUsVtcJzFIBxv-_AdZCtTAB0Wwq2YaLv4zd5Cc/edit?usp=drivesdk")</f>
        <v>https://docs.google.com/spreadsheets/d/1DuYtuOUsVtcJzFIBxv-_AdZCtTAB0Wwq2YaLv4zd5Cc/edit?usp=drivesdk</v>
      </c>
      <c r="H102" s="2" t="str">
        <f ca="1">IFERROR(__xludf.DUMMYFUNCTION("""COMPUTED_VALUE"""),"'✏名簿'!$D$4:$E132")</f>
        <v>'✏名簿'!$D$4:$E132</v>
      </c>
    </row>
    <row r="103" spans="2:8" ht="12.5">
      <c r="B103" s="2"/>
      <c r="D103" s="2" t="str">
        <f ca="1">IFERROR(__xludf.DUMMYFUNCTION("""COMPUTED_VALUE"""),"シート32")</f>
        <v>シート32</v>
      </c>
      <c r="E103" s="2" t="str">
        <f ca="1">IFERROR(__xludf.DUMMYFUNCTION("""COMPUTED_VALUE"""),"D5級名簿")</f>
        <v>D5級名簿</v>
      </c>
      <c r="F103" s="2" t="str">
        <f ca="1">IFERROR(__xludf.DUMMYFUNCTION("""COMPUTED_VALUE"""),"名簿")</f>
        <v>名簿</v>
      </c>
      <c r="G103" s="52" t="str">
        <f ca="1">IFERROR(__xludf.DUMMYFUNCTION("""COMPUTED_VALUE"""),"https://docs.google.com/spreadsheets/d/1Ejaz54ZsYejnxftjfLfkRpgHsR9G3dA5jIxdLDrxHxI/edit?usp=drivesdk")</f>
        <v>https://docs.google.com/spreadsheets/d/1Ejaz54ZsYejnxftjfLfkRpgHsR9G3dA5jIxdLDrxHxI/edit?usp=drivesdk</v>
      </c>
      <c r="H103" s="2" t="str">
        <f ca="1">IFERROR(__xludf.DUMMYFUNCTION("""COMPUTED_VALUE"""),"'✏名簿'!$D$4:$E132")</f>
        <v>'✏名簿'!$D$4:$E132</v>
      </c>
    </row>
    <row r="104" spans="2:8" ht="12.5">
      <c r="B104" s="2"/>
      <c r="D104" s="2" t="str">
        <f ca="1">IFERROR(__xludf.DUMMYFUNCTION("""COMPUTED_VALUE"""),"シート33")</f>
        <v>シート33</v>
      </c>
      <c r="E104" s="2" t="str">
        <f ca="1">IFERROR(__xludf.DUMMYFUNCTION("""COMPUTED_VALUE"""),"D6級名簿")</f>
        <v>D6級名簿</v>
      </c>
      <c r="F104" s="2" t="str">
        <f ca="1">IFERROR(__xludf.DUMMYFUNCTION("""COMPUTED_VALUE"""),"名簿")</f>
        <v>名簿</v>
      </c>
      <c r="G104" s="52" t="str">
        <f ca="1">IFERROR(__xludf.DUMMYFUNCTION("""COMPUTED_VALUE"""),"https://docs.google.com/spreadsheets/d/1lZW484NQgXSojjRVO7vQcUhFVYWyLTaCKYctbKCCfUQ/edit?usp=drivesdk")</f>
        <v>https://docs.google.com/spreadsheets/d/1lZW484NQgXSojjRVO7vQcUhFVYWyLTaCKYctbKCCfUQ/edit?usp=drivesdk</v>
      </c>
      <c r="H104" s="2" t="str">
        <f ca="1">IFERROR(__xludf.DUMMYFUNCTION("""COMPUTED_VALUE"""),"'✏名簿'!$D$4:$E132")</f>
        <v>'✏名簿'!$D$4:$E132</v>
      </c>
    </row>
    <row r="105" spans="2:8" ht="12.5">
      <c r="B105" s="2"/>
      <c r="D105" s="2" t="str">
        <f ca="1">IFERROR(__xludf.DUMMYFUNCTION("""COMPUTED_VALUE"""),"シート34")</f>
        <v>シート34</v>
      </c>
      <c r="E105" s="2" t="str">
        <f ca="1">IFERROR(__xludf.DUMMYFUNCTION("""COMPUTED_VALUE"""),"D7級名簿")</f>
        <v>D7級名簿</v>
      </c>
      <c r="F105" s="2" t="str">
        <f ca="1">IFERROR(__xludf.DUMMYFUNCTION("""COMPUTED_VALUE"""),"名簿")</f>
        <v>名簿</v>
      </c>
      <c r="G105" s="52" t="str">
        <f ca="1">IFERROR(__xludf.DUMMYFUNCTION("""COMPUTED_VALUE"""),"https://docs.google.com/spreadsheets/d/1HJO-BMSCbfdR82fltJY138SIDsNv50He-k8v28haIRU/edit?usp=drivesdk")</f>
        <v>https://docs.google.com/spreadsheets/d/1HJO-BMSCbfdR82fltJY138SIDsNv50He-k8v28haIRU/edit?usp=drivesdk</v>
      </c>
      <c r="H105" s="2" t="str">
        <f ca="1">IFERROR(__xludf.DUMMYFUNCTION("""COMPUTED_VALUE"""),"'✏名簿'!$D$4:$E132")</f>
        <v>'✏名簿'!$D$4:$E132</v>
      </c>
    </row>
    <row r="106" spans="2:8" ht="12.5">
      <c r="B106" s="2"/>
      <c r="D106" s="2" t="str">
        <f ca="1">IFERROR(__xludf.DUMMYFUNCTION("""COMPUTED_VALUE"""),"シート35")</f>
        <v>シート35</v>
      </c>
      <c r="E106" s="2" t="str">
        <f ca="1">IFERROR(__xludf.DUMMYFUNCTION("""COMPUTED_VALUE"""),"D8級名簿")</f>
        <v>D8級名簿</v>
      </c>
      <c r="F106" s="2" t="str">
        <f ca="1">IFERROR(__xludf.DUMMYFUNCTION("""COMPUTED_VALUE"""),"名簿")</f>
        <v>名簿</v>
      </c>
      <c r="G106" s="52" t="str">
        <f ca="1">IFERROR(__xludf.DUMMYFUNCTION("""COMPUTED_VALUE"""),"https://docs.google.com/spreadsheets/d/1VKgyMRLEFN80t5Ql1WCqryj9xpJOziaSgt0tjdZrtMc/edit?usp=drivesdk")</f>
        <v>https://docs.google.com/spreadsheets/d/1VKgyMRLEFN80t5Ql1WCqryj9xpJOziaSgt0tjdZrtMc/edit?usp=drivesdk</v>
      </c>
      <c r="H106" s="2" t="str">
        <f ca="1">IFERROR(__xludf.DUMMYFUNCTION("""COMPUTED_VALUE"""),"'✏名簿'!$D$4:$E132")</f>
        <v>'✏名簿'!$D$4:$E132</v>
      </c>
    </row>
    <row r="107" spans="2:8" ht="12.5">
      <c r="B107" s="2"/>
      <c r="D107" s="2" t="str">
        <f ca="1">IFERROR(__xludf.DUMMYFUNCTION("""COMPUTED_VALUE"""),"シート36")</f>
        <v>シート36</v>
      </c>
      <c r="E107" s="2" t="str">
        <f ca="1">IFERROR(__xludf.DUMMYFUNCTION("""COMPUTED_VALUE"""),"D9級名簿")</f>
        <v>D9級名簿</v>
      </c>
      <c r="F107" s="2" t="str">
        <f ca="1">IFERROR(__xludf.DUMMYFUNCTION("""COMPUTED_VALUE"""),"名簿")</f>
        <v>名簿</v>
      </c>
      <c r="G107" s="52" t="str">
        <f ca="1">IFERROR(__xludf.DUMMYFUNCTION("""COMPUTED_VALUE"""),"https://docs.google.com/spreadsheets/d/1l5t-J90otzP49mnOQUUdYoPkw81yq_sAf2TVfQ5EwkI/edit?usp=drivesdk")</f>
        <v>https://docs.google.com/spreadsheets/d/1l5t-J90otzP49mnOQUUdYoPkw81yq_sAf2TVfQ5EwkI/edit?usp=drivesdk</v>
      </c>
      <c r="H107" s="2" t="str">
        <f ca="1">IFERROR(__xludf.DUMMYFUNCTION("""COMPUTED_VALUE"""),"'✏名簿'!$D$4:$E132")</f>
        <v>'✏名簿'!$D$4:$E132</v>
      </c>
    </row>
    <row r="108" spans="2:8" ht="12.5">
      <c r="B108" s="2"/>
      <c r="D108" s="2" t="str">
        <f ca="1">IFERROR(__xludf.DUMMYFUNCTION("""COMPUTED_VALUE"""),"シート37")</f>
        <v>シート37</v>
      </c>
      <c r="E108" s="2" t="str">
        <f ca="1">IFERROR(__xludf.DUMMYFUNCTION("""COMPUTED_VALUE"""),"D10級名簿")</f>
        <v>D10級名簿</v>
      </c>
      <c r="F108" s="2" t="str">
        <f ca="1">IFERROR(__xludf.DUMMYFUNCTION("""COMPUTED_VALUE"""),"名簿")</f>
        <v>名簿</v>
      </c>
      <c r="G108" s="52" t="str">
        <f ca="1">IFERROR(__xludf.DUMMYFUNCTION("""COMPUTED_VALUE"""),"https://docs.google.com/spreadsheets/d/19G3gNmK4fVXNo9dP1a_zD4DnwMAdDWztj2D0W7VUfuc/edit?usp=drivesdk")</f>
        <v>https://docs.google.com/spreadsheets/d/19G3gNmK4fVXNo9dP1a_zD4DnwMAdDWztj2D0W7VUfuc/edit?usp=drivesdk</v>
      </c>
      <c r="H108" s="2" t="str">
        <f ca="1">IFERROR(__xludf.DUMMYFUNCTION("""COMPUTED_VALUE"""),"'✏名簿'!$D$4:$E132")</f>
        <v>'✏名簿'!$D$4:$E132</v>
      </c>
    </row>
    <row r="109" spans="2:8" ht="12.5">
      <c r="B109" s="2"/>
      <c r="D109" s="2" t="str">
        <f ca="1">IFERROR(__xludf.DUMMYFUNCTION("""COMPUTED_VALUE"""),"シート38")</f>
        <v>シート38</v>
      </c>
      <c r="E109" s="2" t="str">
        <f ca="1">IFERROR(__xludf.DUMMYFUNCTION("""COMPUTED_VALUE"""),"D11級名簿")</f>
        <v>D11級名簿</v>
      </c>
      <c r="F109" s="2" t="str">
        <f ca="1">IFERROR(__xludf.DUMMYFUNCTION("""COMPUTED_VALUE"""),"名簿")</f>
        <v>名簿</v>
      </c>
      <c r="G109" s="52" t="str">
        <f ca="1">IFERROR(__xludf.DUMMYFUNCTION("""COMPUTED_VALUE"""),"https://docs.google.com/spreadsheets/d/1E7P_OFq6gp0rCqjukImSDtdiMjYwAXzVvyxKYUEY5Vs/edit?usp=drivesdk")</f>
        <v>https://docs.google.com/spreadsheets/d/1E7P_OFq6gp0rCqjukImSDtdiMjYwAXzVvyxKYUEY5Vs/edit?usp=drivesdk</v>
      </c>
      <c r="H109" s="2" t="str">
        <f ca="1">IFERROR(__xludf.DUMMYFUNCTION("""COMPUTED_VALUE"""),"'✏名簿'!$D$4:$E132")</f>
        <v>'✏名簿'!$D$4:$E132</v>
      </c>
    </row>
    <row r="110" spans="2:8" ht="12.5">
      <c r="B110" s="2"/>
      <c r="D110" s="2" t="str">
        <f ca="1">IFERROR(__xludf.DUMMYFUNCTION("""COMPUTED_VALUE"""),"シート39")</f>
        <v>シート39</v>
      </c>
      <c r="E110" s="2" t="str">
        <f ca="1">IFERROR(__xludf.DUMMYFUNCTION("""COMPUTED_VALUE"""),"D12級名簿")</f>
        <v>D12級名簿</v>
      </c>
      <c r="F110" s="2" t="str">
        <f ca="1">IFERROR(__xludf.DUMMYFUNCTION("""COMPUTED_VALUE"""),"名簿")</f>
        <v>名簿</v>
      </c>
      <c r="G110" s="52" t="str">
        <f ca="1">IFERROR(__xludf.DUMMYFUNCTION("""COMPUTED_VALUE"""),"https://docs.google.com/spreadsheets/d/1kKk37hKU7f-HkclDWpUQx3SFR7vZKnZ7a-MQ0l0uUco/edit?usp=drivesdk")</f>
        <v>https://docs.google.com/spreadsheets/d/1kKk37hKU7f-HkclDWpUQx3SFR7vZKnZ7a-MQ0l0uUco/edit?usp=drivesdk</v>
      </c>
      <c r="H110" s="2" t="str">
        <f ca="1">IFERROR(__xludf.DUMMYFUNCTION("""COMPUTED_VALUE"""),"'✏名簿'!$D$4:$E132")</f>
        <v>'✏名簿'!$D$4:$E132</v>
      </c>
    </row>
    <row r="111" spans="2:8" ht="12.5">
      <c r="B111" s="2"/>
      <c r="D111" s="2" t="str">
        <f ca="1">IFERROR(__xludf.DUMMYFUNCTION("""COMPUTED_VALUE"""),"シート40")</f>
        <v>シート40</v>
      </c>
      <c r="E111" s="2" t="str">
        <f ca="1">IFERROR(__xludf.DUMMYFUNCTION("""COMPUTED_VALUE"""),"D13級名簿")</f>
        <v>D13級名簿</v>
      </c>
      <c r="F111" s="2" t="str">
        <f ca="1">IFERROR(__xludf.DUMMYFUNCTION("""COMPUTED_VALUE"""),"名簿")</f>
        <v>名簿</v>
      </c>
      <c r="G111" s="52" t="str">
        <f ca="1">IFERROR(__xludf.DUMMYFUNCTION("""COMPUTED_VALUE"""),"https://docs.google.com/spreadsheets/d/1N-hCJa3jXN0EdoGW-EjUaRQnajJAsAqzwbpJ98_D5s0/edit?usp=drivesdk")</f>
        <v>https://docs.google.com/spreadsheets/d/1N-hCJa3jXN0EdoGW-EjUaRQnajJAsAqzwbpJ98_D5s0/edit?usp=drivesdk</v>
      </c>
      <c r="H111" s="2" t="str">
        <f ca="1">IFERROR(__xludf.DUMMYFUNCTION("""COMPUTED_VALUE"""),"'✏名簿'!$D$4:$E132")</f>
        <v>'✏名簿'!$D$4:$E132</v>
      </c>
    </row>
    <row r="112" spans="2:8" ht="12.5">
      <c r="B112" s="2"/>
      <c r="D112" s="2" t="str">
        <f ca="1">IFERROR(__xludf.DUMMYFUNCTION("""COMPUTED_VALUE"""),"シート41")</f>
        <v>シート41</v>
      </c>
      <c r="E112" s="2" t="str">
        <f ca="1">IFERROR(__xludf.DUMMYFUNCTION("""COMPUTED_VALUE"""),"D14級名簿")</f>
        <v>D14級名簿</v>
      </c>
      <c r="F112" s="2" t="str">
        <f ca="1">IFERROR(__xludf.DUMMYFUNCTION("""COMPUTED_VALUE"""),"名簿")</f>
        <v>名簿</v>
      </c>
      <c r="G112" s="52" t="str">
        <f ca="1">IFERROR(__xludf.DUMMYFUNCTION("""COMPUTED_VALUE"""),"https://docs.google.com/spreadsheets/d/19iPFTPnZJunPd_7oUameQhwQC44WcwCPrgWyCYnO_AU/edit?usp=drivesdk")</f>
        <v>https://docs.google.com/spreadsheets/d/19iPFTPnZJunPd_7oUameQhwQC44WcwCPrgWyCYnO_AU/edit?usp=drivesdk</v>
      </c>
      <c r="H112" s="2" t="str">
        <f ca="1">IFERROR(__xludf.DUMMYFUNCTION("""COMPUTED_VALUE"""),"'✏名簿'!$D$4:$E132")</f>
        <v>'✏名簿'!$D$4:$E132</v>
      </c>
    </row>
    <row r="113" spans="2:8" ht="12.5">
      <c r="B113" s="2"/>
      <c r="D113" s="2" t="str">
        <f ca="1">IFERROR(__xludf.DUMMYFUNCTION("""COMPUTED_VALUE"""),"シート42")</f>
        <v>シート42</v>
      </c>
      <c r="E113" s="2" t="str">
        <f ca="1">IFERROR(__xludf.DUMMYFUNCTION("""COMPUTED_VALUE"""),"D15級名簿")</f>
        <v>D15級名簿</v>
      </c>
      <c r="F113" s="2" t="str">
        <f ca="1">IFERROR(__xludf.DUMMYFUNCTION("""COMPUTED_VALUE"""),"名簿")</f>
        <v>名簿</v>
      </c>
      <c r="G113" s="52" t="str">
        <f ca="1">IFERROR(__xludf.DUMMYFUNCTION("""COMPUTED_VALUE"""),"https://docs.google.com/spreadsheets/d/1JOGZLtPIZrC_hmETVwdi76EJnDGISkThWsfVh-3rm8w/edit?usp=drivesdk")</f>
        <v>https://docs.google.com/spreadsheets/d/1JOGZLtPIZrC_hmETVwdi76EJnDGISkThWsfVh-3rm8w/edit?usp=drivesdk</v>
      </c>
      <c r="H113" s="2" t="str">
        <f ca="1">IFERROR(__xludf.DUMMYFUNCTION("""COMPUTED_VALUE"""),"'✏名簿'!$D$4:$E132")</f>
        <v>'✏名簿'!$D$4:$E132</v>
      </c>
    </row>
    <row r="114" spans="2:8" ht="12.5">
      <c r="B114" s="2"/>
      <c r="D114" s="2" t="str">
        <f ca="1">IFERROR(__xludf.DUMMYFUNCTION("""COMPUTED_VALUE"""),"シート43")</f>
        <v>シート43</v>
      </c>
      <c r="E114" s="2" t="str">
        <f ca="1">IFERROR(__xludf.DUMMYFUNCTION("""COMPUTED_VALUE"""),"D16級名簿")</f>
        <v>D16級名簿</v>
      </c>
      <c r="F114" s="2" t="str">
        <f ca="1">IFERROR(__xludf.DUMMYFUNCTION("""COMPUTED_VALUE"""),"名簿")</f>
        <v>名簿</v>
      </c>
      <c r="G114" s="52" t="str">
        <f ca="1">IFERROR(__xludf.DUMMYFUNCTION("""COMPUTED_VALUE"""),"https://docs.google.com/spreadsheets/d/1t88Ydr2xFy_sgcFtj7-a694MR-H73o2d87CpnYs3Z3E/edit?usp=drivesdk")</f>
        <v>https://docs.google.com/spreadsheets/d/1t88Ydr2xFy_sgcFtj7-a694MR-H73o2d87CpnYs3Z3E/edit?usp=drivesdk</v>
      </c>
      <c r="H114" s="2" t="str">
        <f ca="1">IFERROR(__xludf.DUMMYFUNCTION("""COMPUTED_VALUE"""),"'✏名簿'!$D$4:$E132")</f>
        <v>'✏名簿'!$D$4:$E132</v>
      </c>
    </row>
    <row r="115" spans="2:8" ht="12.5">
      <c r="B115" s="2"/>
      <c r="D115" s="2" t="str">
        <f ca="1">IFERROR(__xludf.DUMMYFUNCTION("""COMPUTED_VALUE"""),"シート44")</f>
        <v>シート44</v>
      </c>
      <c r="E115" s="2" t="str">
        <f ca="1">IFERROR(__xludf.DUMMYFUNCTION("""COMPUTED_VALUE"""),"D17級名簿")</f>
        <v>D17級名簿</v>
      </c>
      <c r="F115" s="2" t="str">
        <f ca="1">IFERROR(__xludf.DUMMYFUNCTION("""COMPUTED_VALUE"""),"名簿")</f>
        <v>名簿</v>
      </c>
      <c r="G115" s="52" t="str">
        <f ca="1">IFERROR(__xludf.DUMMYFUNCTION("""COMPUTED_VALUE"""),"https://docs.google.com/spreadsheets/d/1hk85jfDuqz_wh8tENGP7AqA_mg4ig8_1W93pf3G3t9o/edit?usp=drivesdk")</f>
        <v>https://docs.google.com/spreadsheets/d/1hk85jfDuqz_wh8tENGP7AqA_mg4ig8_1W93pf3G3t9o/edit?usp=drivesdk</v>
      </c>
      <c r="H115" s="2" t="str">
        <f ca="1">IFERROR(__xludf.DUMMYFUNCTION("""COMPUTED_VALUE"""),"'✏名簿'!$D$4:$E132")</f>
        <v>'✏名簿'!$D$4:$E132</v>
      </c>
    </row>
    <row r="116" spans="2:8" ht="12.5">
      <c r="B116" s="2"/>
      <c r="D116" s="2" t="str">
        <f ca="1">IFERROR(__xludf.DUMMYFUNCTION("""COMPUTED_VALUE"""),"シート45")</f>
        <v>シート45</v>
      </c>
      <c r="E116" s="2" t="str">
        <f ca="1">IFERROR(__xludf.DUMMYFUNCTION("""COMPUTED_VALUE"""),"D18級名簿")</f>
        <v>D18級名簿</v>
      </c>
      <c r="F116" s="2" t="str">
        <f ca="1">IFERROR(__xludf.DUMMYFUNCTION("""COMPUTED_VALUE"""),"名簿")</f>
        <v>名簿</v>
      </c>
      <c r="G116" s="52" t="str">
        <f ca="1">IFERROR(__xludf.DUMMYFUNCTION("""COMPUTED_VALUE"""),"https://docs.google.com/spreadsheets/d/1RFH2Av3Tm_RqpN0fq7wexCn0KQV4MwyE8G0TMvVJvrk/edit?usp=drivesdk")</f>
        <v>https://docs.google.com/spreadsheets/d/1RFH2Av3Tm_RqpN0fq7wexCn0KQV4MwyE8G0TMvVJvrk/edit?usp=drivesdk</v>
      </c>
      <c r="H116" s="2" t="str">
        <f ca="1">IFERROR(__xludf.DUMMYFUNCTION("""COMPUTED_VALUE"""),"'✏名簿'!$D$4:$E132")</f>
        <v>'✏名簿'!$D$4:$E132</v>
      </c>
    </row>
    <row r="117" spans="2:8" ht="12.5">
      <c r="B117" s="2"/>
      <c r="D117" s="2" t="str">
        <f ca="1">IFERROR(__xludf.DUMMYFUNCTION("""COMPUTED_VALUE"""),"シート46")</f>
        <v>シート46</v>
      </c>
      <c r="E117" s="2" t="str">
        <f ca="1">IFERROR(__xludf.DUMMYFUNCTION("""COMPUTED_VALUE"""),"D19級名簿")</f>
        <v>D19級名簿</v>
      </c>
      <c r="F117" s="2" t="str">
        <f ca="1">IFERROR(__xludf.DUMMYFUNCTION("""COMPUTED_VALUE"""),"名簿")</f>
        <v>名簿</v>
      </c>
      <c r="G117" s="52" t="str">
        <f ca="1">IFERROR(__xludf.DUMMYFUNCTION("""COMPUTED_VALUE"""),"https://docs.google.com/spreadsheets/d/1wdB09foCGcSEgmXzn5lY5OADXHxsBUS-pxrLXC1nu-Q/edit?usp=drivesdk")</f>
        <v>https://docs.google.com/spreadsheets/d/1wdB09foCGcSEgmXzn5lY5OADXHxsBUS-pxrLXC1nu-Q/edit?usp=drivesdk</v>
      </c>
      <c r="H117" s="2" t="str">
        <f ca="1">IFERROR(__xludf.DUMMYFUNCTION("""COMPUTED_VALUE"""),"'✏名簿'!$D$4:$E132")</f>
        <v>'✏名簿'!$D$4:$E132</v>
      </c>
    </row>
    <row r="118" spans="2:8" ht="12.5">
      <c r="B118" s="2"/>
      <c r="D118" s="2" t="str">
        <f ca="1">IFERROR(__xludf.DUMMYFUNCTION("""COMPUTED_VALUE"""),"シート47")</f>
        <v>シート47</v>
      </c>
      <c r="E118" s="2" t="str">
        <f ca="1">IFERROR(__xludf.DUMMYFUNCTION("""COMPUTED_VALUE"""),"D20級名簿")</f>
        <v>D20級名簿</v>
      </c>
      <c r="F118" s="2" t="str">
        <f ca="1">IFERROR(__xludf.DUMMYFUNCTION("""COMPUTED_VALUE"""),"名簿")</f>
        <v>名簿</v>
      </c>
      <c r="G118" s="52" t="str">
        <f ca="1">IFERROR(__xludf.DUMMYFUNCTION("""COMPUTED_VALUE"""),"https://docs.google.com/spreadsheets/d/1qhpJgbLW-03lJLEij2lbrPhbwEtA-SVE8xadNEN1eB8/edit?usp=drivesdk")</f>
        <v>https://docs.google.com/spreadsheets/d/1qhpJgbLW-03lJLEij2lbrPhbwEtA-SVE8xadNEN1eB8/edit?usp=drivesdk</v>
      </c>
      <c r="H118" s="2" t="str">
        <f ca="1">IFERROR(__xludf.DUMMYFUNCTION("""COMPUTED_VALUE"""),"'✏名簿'!$D$4:$E132")</f>
        <v>'✏名簿'!$D$4:$E132</v>
      </c>
    </row>
    <row r="119" spans="2:8" ht="12.5">
      <c r="B119" s="2"/>
      <c r="D119" s="2" t="str">
        <f ca="1">IFERROR(__xludf.DUMMYFUNCTION("""COMPUTED_VALUE"""),"シート48")</f>
        <v>シート48</v>
      </c>
      <c r="E119" s="2" t="str">
        <f ca="1">IFERROR(__xludf.DUMMYFUNCTION("""COMPUTED_VALUE"""),"D21級名簿")</f>
        <v>D21級名簿</v>
      </c>
      <c r="F119" s="2" t="str">
        <f ca="1">IFERROR(__xludf.DUMMYFUNCTION("""COMPUTED_VALUE"""),"名簿")</f>
        <v>名簿</v>
      </c>
      <c r="G119" s="52" t="str">
        <f ca="1">IFERROR(__xludf.DUMMYFUNCTION("""COMPUTED_VALUE"""),"https://docs.google.com/spreadsheets/d/1iv5IhTttMuqC6B8cGLWbbmBzp_wmEfY1OLYmviP9Da4/edit?usp=drivesdk")</f>
        <v>https://docs.google.com/spreadsheets/d/1iv5IhTttMuqC6B8cGLWbbmBzp_wmEfY1OLYmviP9Da4/edit?usp=drivesdk</v>
      </c>
      <c r="H119" s="2" t="str">
        <f ca="1">IFERROR(__xludf.DUMMYFUNCTION("""COMPUTED_VALUE"""),"'✏名簿'!$D$4:$E132")</f>
        <v>'✏名簿'!$D$4:$E132</v>
      </c>
    </row>
    <row r="120" spans="2:8" ht="12.5">
      <c r="B120" s="2"/>
      <c r="D120" s="2" t="str">
        <f ca="1">IFERROR(__xludf.DUMMYFUNCTION("""COMPUTED_VALUE"""),"シート49")</f>
        <v>シート49</v>
      </c>
      <c r="E120" s="2" t="str">
        <f ca="1">IFERROR(__xludf.DUMMYFUNCTION("""COMPUTED_VALUE"""),"D22級名簿")</f>
        <v>D22級名簿</v>
      </c>
      <c r="F120" s="2" t="str">
        <f ca="1">IFERROR(__xludf.DUMMYFUNCTION("""COMPUTED_VALUE"""),"名簿")</f>
        <v>名簿</v>
      </c>
      <c r="G120" s="52" t="str">
        <f ca="1">IFERROR(__xludf.DUMMYFUNCTION("""COMPUTED_VALUE"""),"https://docs.google.com/spreadsheets/d/1G-LdkZmi__DcqEqCiPbS_DD26_o6h1hQq85hPc2HPGM/edit?usp=drivesdk")</f>
        <v>https://docs.google.com/spreadsheets/d/1G-LdkZmi__DcqEqCiPbS_DD26_o6h1hQq85hPc2HPGM/edit?usp=drivesdk</v>
      </c>
      <c r="H120" s="2" t="str">
        <f ca="1">IFERROR(__xludf.DUMMYFUNCTION("""COMPUTED_VALUE"""),"'✏名簿'!$D$4:$E132")</f>
        <v>'✏名簿'!$D$4:$E132</v>
      </c>
    </row>
    <row r="121" spans="2:8" ht="12.5">
      <c r="B121" s="2"/>
      <c r="D121" s="2" t="str">
        <f ca="1">IFERROR(__xludf.DUMMYFUNCTION("""COMPUTED_VALUE"""),"シート50")</f>
        <v>シート50</v>
      </c>
      <c r="E121" s="2" t="str">
        <f ca="1">IFERROR(__xludf.DUMMYFUNCTION("""COMPUTED_VALUE"""),"D23級名簿")</f>
        <v>D23級名簿</v>
      </c>
      <c r="F121" s="2" t="str">
        <f ca="1">IFERROR(__xludf.DUMMYFUNCTION("""COMPUTED_VALUE"""),"名簿")</f>
        <v>名簿</v>
      </c>
      <c r="G121" s="52" t="str">
        <f ca="1">IFERROR(__xludf.DUMMYFUNCTION("""COMPUTED_VALUE"""),"https://docs.google.com/spreadsheets/d/1gPz1Y1GmQGycMevCJNUMZyUwzKto9LxZ7Q5zcSsfvZA/edit?usp=drivesdk")</f>
        <v>https://docs.google.com/spreadsheets/d/1gPz1Y1GmQGycMevCJNUMZyUwzKto9LxZ7Q5zcSsfvZA/edit?usp=drivesdk</v>
      </c>
      <c r="H121" s="2" t="str">
        <f ca="1">IFERROR(__xludf.DUMMYFUNCTION("""COMPUTED_VALUE"""),"'✏名簿'!$D$4:$E132")</f>
        <v>'✏名簿'!$D$4:$E132</v>
      </c>
    </row>
    <row r="122" spans="2:8" ht="12.5">
      <c r="B122" s="2"/>
    </row>
    <row r="123" spans="2:8" ht="12.5">
      <c r="B123" s="2"/>
    </row>
    <row r="124" spans="2:8" ht="12.5">
      <c r="B124" s="2"/>
    </row>
    <row r="125" spans="2:8" ht="12.5">
      <c r="B125" s="2"/>
    </row>
    <row r="126" spans="2:8" ht="12.5">
      <c r="B126" s="2"/>
    </row>
    <row r="127" spans="2:8" ht="12.5">
      <c r="B127" s="2"/>
    </row>
    <row r="128" spans="2:8" ht="12.5">
      <c r="B128" s="2"/>
    </row>
    <row r="129" spans="2:2" ht="12.5">
      <c r="B129" s="2"/>
    </row>
    <row r="130" spans="2:2" ht="12.5">
      <c r="B130" s="2"/>
    </row>
    <row r="131" spans="2:2" ht="12.5">
      <c r="B131" s="2"/>
    </row>
    <row r="132" spans="2:2" ht="12.5">
      <c r="B132" s="2"/>
    </row>
    <row r="133" spans="2:2" ht="12.5">
      <c r="B133" s="2"/>
    </row>
    <row r="134" spans="2:2" ht="12.5">
      <c r="B134" s="2"/>
    </row>
    <row r="135" spans="2:2" ht="12.5">
      <c r="B135" s="2"/>
    </row>
    <row r="136" spans="2:2" ht="12.5">
      <c r="B136" s="2"/>
    </row>
    <row r="137" spans="2:2" ht="12.5">
      <c r="B137" s="2"/>
    </row>
    <row r="138" spans="2:2" ht="12.5">
      <c r="B138" s="2"/>
    </row>
    <row r="139" spans="2:2" ht="12.5">
      <c r="B139" s="2"/>
    </row>
    <row r="140" spans="2:2" ht="12.5">
      <c r="B140" s="2"/>
    </row>
    <row r="141" spans="2:2" ht="12.5">
      <c r="B141" s="2"/>
    </row>
    <row r="142" spans="2:2" ht="12.5">
      <c r="B142" s="2"/>
    </row>
    <row r="143" spans="2:2" ht="12.5">
      <c r="B143" s="2"/>
    </row>
    <row r="144" spans="2:2" ht="12.5">
      <c r="B144" s="2"/>
    </row>
    <row r="145" spans="2:2" ht="12.5">
      <c r="B145" s="2"/>
    </row>
  </sheetData>
  <mergeCells count="1">
    <mergeCell ref="D1:H1"/>
  </mergeCells>
  <phoneticPr fontId="18"/>
  <hyperlinks>
    <hyperlink ref="G2" r:id="rId1" display="https://docs.google.com/spreadsheets/d/1-MZXPnBl9Wd7h4bObvRFJS_pTN5mevdSF85b-j6AOzk/edit?usp=drivesdk" xr:uid="{00000000-0004-0000-1200-000000000000}"/>
    <hyperlink ref="G3" r:id="rId2" display="https://docs.google.com/spreadsheets/d/1VeuF6GeKUOTGwzHO-LSfwI2za36ml_zaeYaL5o2Ghhk/edit?usp=drivesdk" xr:uid="{00000000-0004-0000-1200-000001000000}"/>
    <hyperlink ref="G4" r:id="rId3" display="https://docs.google.com/spreadsheets/d/1Vf0-Zf5QXkKWI5TXBv-pwobDXPRbtWrTvnpwUqYjTZA/edit?usp=drivesdk" xr:uid="{00000000-0004-0000-1200-000002000000}"/>
    <hyperlink ref="G5" r:id="rId4" display="https://docs.google.com/spreadsheets/d/1WxXyg78YgPjV2g6Maufr1gPhwjcIhEA2YlR7XoLSu-A/edit?usp=drivesdk" xr:uid="{00000000-0004-0000-1200-000003000000}"/>
    <hyperlink ref="G6" r:id="rId5" display="https://docs.google.com/spreadsheets/d/1Kmvsurer_Lp6kV_gGHqAbBlz8HH6cFgI1dwAEnoNZ2g/edit?usp=drivesdk" xr:uid="{00000000-0004-0000-1200-000004000000}"/>
    <hyperlink ref="G7" r:id="rId6" display="https://docs.google.com/spreadsheets/d/19BIrSmulqEh9AXqKQdwgOUomd__wIypcOwldR9oSJtU/edit?usp=drivesdk" xr:uid="{00000000-0004-0000-1200-000005000000}"/>
    <hyperlink ref="G8" r:id="rId7" display="https://docs.google.com/spreadsheets/d/1Km5q6etNZVJvUXvQt7MbAm1CiPgdgD3WbuBk-IEbltE/edit?usp=drivesdk" xr:uid="{00000000-0004-0000-1200-000006000000}"/>
    <hyperlink ref="G9" r:id="rId8" display="https://docs.google.com/spreadsheets/d/1BhVSucEAj1wo7CpB5JE7KlLSrNVdFxF7YIoDXXy5DFo/edit?usp=drivesdk" xr:uid="{00000000-0004-0000-1200-000007000000}"/>
    <hyperlink ref="G10" r:id="rId9" display="https://docs.google.com/spreadsheets/d/1SjAdeb1zUMrHPIkdruy08Cdpv35GPoEXDjy8zscxEm4/edit?usp=drivesdk" xr:uid="{00000000-0004-0000-1200-000008000000}"/>
    <hyperlink ref="G11" r:id="rId10" display="https://docs.google.com/spreadsheets/d/16MGW4WNSw5JI3UfbJqM1hAKIbvqQRbo-41n08BX07BE/edit?usp=drivesdk" xr:uid="{00000000-0004-0000-1200-000009000000}"/>
    <hyperlink ref="G12" r:id="rId11" display="https://docs.google.com/spreadsheets/d/1M5eBktJ24jwZP15Z9GXIyy6b6T9ksZfU-CGiztfx2Zc/edit?usp=drivesdk" xr:uid="{00000000-0004-0000-1200-00000A000000}"/>
    <hyperlink ref="G13" r:id="rId12" display="https://docs.google.com/spreadsheets/d/1sNqCLS4ouDciEDu87MuB-7sr2veWtiBMKHhj8Ce0C4M/edit?usp=drivesdk" xr:uid="{00000000-0004-0000-1200-00000B000000}"/>
    <hyperlink ref="G14" r:id="rId13" display="https://docs.google.com/spreadsheets/d/11Ii-qxGsj-laNAFvL8sxd3sw0FfHuY-_L8GiFn6IXHg/edit?usp=drivesdk" xr:uid="{00000000-0004-0000-1200-00000C000000}"/>
    <hyperlink ref="G15" r:id="rId14" display="https://docs.google.com/spreadsheets/d/1M7TRvgVNWBLpyTEKRxOwK6LgCwakMitz7S6B-mW1QVo/edit?usp=drivesdk" xr:uid="{00000000-0004-0000-1200-00000D000000}"/>
    <hyperlink ref="G16" r:id="rId15" display="https://docs.google.com/spreadsheets/d/1QWMxzYY9-ggGQqsSN5-2Zj1l5akdKTTeaGM-X3nkvK4/edit?usp=drivesdk" xr:uid="{00000000-0004-0000-1200-00000E000000}"/>
    <hyperlink ref="G17" r:id="rId16" display="https://docs.google.com/spreadsheets/d/1u5EkAfQgN-3SlSU8zM8jDrtRH35bUPYYSXIFnmO7pYY/edit?usp=drivesdk" xr:uid="{00000000-0004-0000-1200-00000F000000}"/>
    <hyperlink ref="G18" r:id="rId17" display="https://docs.google.com/spreadsheets/d/1DRvYYIfoAjZe-UdmMcKlpTA9xwpDShbwvBMpEGxk378/edit?usp=drivesdk" xr:uid="{00000000-0004-0000-1200-000010000000}"/>
    <hyperlink ref="G19" r:id="rId18" display="https://docs.google.com/spreadsheets/d/13tzA1ktx5PEp-qtKszyaWBlwGMM3wHaqvNnkZZOl2zk/edit?usp=drivesdk" xr:uid="{00000000-0004-0000-1200-000011000000}"/>
    <hyperlink ref="G20" r:id="rId19" display="https://docs.google.com/spreadsheets/d/1Ktp6iyvl-kklS-MZfUJ_MykMhrGukOUaNxw9FzKCxl4/edit?usp=drivesdk" xr:uid="{00000000-0004-0000-1200-000012000000}"/>
    <hyperlink ref="G21" r:id="rId20" display="https://docs.google.com/spreadsheets/d/1OpwR9I7hNZuzbsQkD0Z7-U6ojcQ0hskrVeExjZie4ss/edit?usp=drivesdk" xr:uid="{00000000-0004-0000-1200-000013000000}"/>
    <hyperlink ref="G22" r:id="rId21" display="https://docs.google.com/spreadsheets/d/1eHJHU2oBK2I2_UbwVQ-Nyb61XUPORAGjjcTRClr09ss/edit?usp=drivesdk" xr:uid="{00000000-0004-0000-1200-000014000000}"/>
    <hyperlink ref="G23" r:id="rId22" display="https://docs.google.com/spreadsheets/d/1urW4NW7aifLlnWw_WI2EYfqcHUwalIMX3pJSpuU6CTI/edit?usp=drivesdk" xr:uid="{00000000-0004-0000-1200-000015000000}"/>
    <hyperlink ref="G24" r:id="rId23" display="https://docs.google.com/spreadsheets/d/1Yi8rj5sGpnDAdLnDztruq1OQTmBExzLf6R57V3wm3zY/edit?usp=drivesdk" xr:uid="{00000000-0004-0000-1200-000016000000}"/>
    <hyperlink ref="G25" r:id="rId24" display="https://docs.google.com/spreadsheets/d/1_1cOeimbnamQ3N5wYwa3h59ugQ3VU1w7gBsjeAdeRZM/edit?usp=drivesdk" xr:uid="{00000000-0004-0000-1200-000017000000}"/>
    <hyperlink ref="G26" r:id="rId25" display="https://docs.google.com/spreadsheets/d/1GQIqFioSRCUcLIxfjMk2KYEEUU8xAo_KfKuIQA1mJDU/edit?usp=drivesdk" xr:uid="{00000000-0004-0000-1200-000018000000}"/>
    <hyperlink ref="G27" r:id="rId26" display="https://docs.google.com/spreadsheets/d/1whaRso4QpeV0nmGqpcUOuUD2VziIUI3bPpcBU98CuJw/edit?usp=drivesdk" xr:uid="{00000000-0004-0000-1200-000019000000}"/>
    <hyperlink ref="G28" r:id="rId27" display="https://docs.google.com/spreadsheets/d/1PmKkTSPgPf4_6waZYYpTJf24L28th49KA7jBRB7SRvs/edit?usp=drivesdk" xr:uid="{00000000-0004-0000-1200-00001A000000}"/>
    <hyperlink ref="G29" r:id="rId28" display="https://docs.google.com/spreadsheets/d/1PMmqzKQovq-E4y36JxV5Bqx4lL1en5xNeWb7VCXXOv0/edit?usp=drivesdk" xr:uid="{00000000-0004-0000-1200-00001B000000}"/>
    <hyperlink ref="G30" r:id="rId29" display="https://docs.google.com/spreadsheets/d/1Ywu097SnBg4bqYCvL05URfJg_Sm47GGfMftcw-3PlAc/edit?usp=drivesdk" xr:uid="{00000000-0004-0000-1200-00001C000000}"/>
    <hyperlink ref="G31" r:id="rId30" display="https://docs.google.com/spreadsheets/d/1ib6lAJGS0APjKXxC__0UonPM1KszUjR5OyENwSJha2k/edit?usp=drivesdk" xr:uid="{00000000-0004-0000-1200-00001D000000}"/>
    <hyperlink ref="G32" r:id="rId31" display="https://docs.google.com/spreadsheets/d/1DuYtuOUsVtcJzFIBxv-_AdZCtTAB0Wwq2YaLv4zd5Cc/edit?usp=drivesdk" xr:uid="{00000000-0004-0000-1200-00001E000000}"/>
    <hyperlink ref="G33" r:id="rId32" display="https://docs.google.com/spreadsheets/d/1Ejaz54ZsYejnxftjfLfkRpgHsR9G3dA5jIxdLDrxHxI/edit?usp=drivesdk" xr:uid="{00000000-0004-0000-1200-00001F000000}"/>
    <hyperlink ref="G34" r:id="rId33" display="https://docs.google.com/spreadsheets/d/1lZW484NQgXSojjRVO7vQcUhFVYWyLTaCKYctbKCCfUQ/edit?usp=drivesdk" xr:uid="{00000000-0004-0000-1200-000020000000}"/>
    <hyperlink ref="G35" r:id="rId34" display="https://docs.google.com/spreadsheets/d/1HJO-BMSCbfdR82fltJY138SIDsNv50He-k8v28haIRU/edit?usp=drivesdk" xr:uid="{00000000-0004-0000-1200-000021000000}"/>
    <hyperlink ref="G36" r:id="rId35" display="https://docs.google.com/spreadsheets/d/1VKgyMRLEFN80t5Ql1WCqryj9xpJOziaSgt0tjdZrtMc/edit?usp=drivesdk" xr:uid="{00000000-0004-0000-1200-000022000000}"/>
    <hyperlink ref="G37" r:id="rId36" display="https://docs.google.com/spreadsheets/d/1l5t-J90otzP49mnOQUUdYoPkw81yq_sAf2TVfQ5EwkI/edit?usp=drivesdk" xr:uid="{00000000-0004-0000-1200-000023000000}"/>
    <hyperlink ref="G38" r:id="rId37" display="https://docs.google.com/spreadsheets/d/19G3gNmK4fVXNo9dP1a_zD4DnwMAdDWztj2D0W7VUfuc/edit?usp=drivesdk" xr:uid="{00000000-0004-0000-1200-000024000000}"/>
    <hyperlink ref="G39" r:id="rId38" display="https://docs.google.com/spreadsheets/d/1E7P_OFq6gp0rCqjukImSDtdiMjYwAXzVvyxKYUEY5Vs/edit?usp=drivesdk" xr:uid="{00000000-0004-0000-1200-000025000000}"/>
    <hyperlink ref="G40" r:id="rId39" display="https://docs.google.com/spreadsheets/d/1kKk37hKU7f-HkclDWpUQx3SFR7vZKnZ7a-MQ0l0uUco/edit?usp=drivesdk" xr:uid="{00000000-0004-0000-1200-000026000000}"/>
    <hyperlink ref="G41" r:id="rId40" display="https://docs.google.com/spreadsheets/d/1N-hCJa3jXN0EdoGW-EjUaRQnajJAsAqzwbpJ98_D5s0/edit?usp=drivesdk" xr:uid="{00000000-0004-0000-1200-000027000000}"/>
    <hyperlink ref="G42" r:id="rId41" display="https://docs.google.com/spreadsheets/d/19iPFTPnZJunPd_7oUameQhwQC44WcwCPrgWyCYnO_AU/edit?usp=drivesdk" xr:uid="{00000000-0004-0000-1200-000028000000}"/>
    <hyperlink ref="G43" r:id="rId42" display="https://docs.google.com/spreadsheets/d/1JOGZLtPIZrC_hmETVwdi76EJnDGISkThWsfVh-3rm8w/edit?usp=drivesdk" xr:uid="{00000000-0004-0000-1200-000029000000}"/>
    <hyperlink ref="G44" r:id="rId43" display="https://docs.google.com/spreadsheets/d/1t88Ydr2xFy_sgcFtj7-a694MR-H73o2d87CpnYs3Z3E/edit?usp=drivesdk" xr:uid="{00000000-0004-0000-1200-00002A000000}"/>
    <hyperlink ref="G45" r:id="rId44" display="https://docs.google.com/spreadsheets/d/1hk85jfDuqz_wh8tENGP7AqA_mg4ig8_1W93pf3G3t9o/edit?usp=drivesdk" xr:uid="{00000000-0004-0000-1200-00002B000000}"/>
    <hyperlink ref="G46" r:id="rId45" display="https://docs.google.com/spreadsheets/d/1RFH2Av3Tm_RqpN0fq7wexCn0KQV4MwyE8G0TMvVJvrk/edit?usp=drivesdk" xr:uid="{00000000-0004-0000-1200-00002C000000}"/>
    <hyperlink ref="G47" r:id="rId46" display="https://docs.google.com/spreadsheets/d/1wdB09foCGcSEgmXzn5lY5OADXHxsBUS-pxrLXC1nu-Q/edit?usp=drivesdk" xr:uid="{00000000-0004-0000-1200-00002D000000}"/>
    <hyperlink ref="G48" r:id="rId47" display="https://docs.google.com/spreadsheets/d/1qhpJgbLW-03lJLEij2lbrPhbwEtA-SVE8xadNEN1eB8/edit?usp=drivesdk" xr:uid="{00000000-0004-0000-1200-00002E000000}"/>
    <hyperlink ref="G49" r:id="rId48" display="https://docs.google.com/spreadsheets/d/1iv5IhTttMuqC6B8cGLWbbmBzp_wmEfY1OLYmviP9Da4/edit?usp=drivesdk" xr:uid="{00000000-0004-0000-1200-00002F000000}"/>
    <hyperlink ref="G50" r:id="rId49" display="https://docs.google.com/spreadsheets/d/1G-LdkZmi__DcqEqCiPbS_DD26_o6h1hQq85hPc2HPGM/edit?usp=drivesdk" xr:uid="{00000000-0004-0000-1200-000030000000}"/>
    <hyperlink ref="G51" r:id="rId50" display="https://docs.google.com/spreadsheets/d/1gPz1Y1GmQGycMevCJNUMZyUwzKto9LxZ7Q5zcSsfvZA/edit?usp=drivesdk" xr:uid="{00000000-0004-0000-1200-000031000000}"/>
    <hyperlink ref="G72" r:id="rId51" display="https://docs.google.com/spreadsheets/d/1-MZXPnBl9Wd7h4bObvRFJS_pTN5mevdSF85b-j6AOzk/edit?usp=drivesdk" xr:uid="{00000000-0004-0000-1200-000032000000}"/>
    <hyperlink ref="G73" r:id="rId52" display="https://docs.google.com/spreadsheets/d/1VeuF6GeKUOTGwzHO-LSfwI2za36ml_zaeYaL5o2Ghhk/edit?usp=drivesdk" xr:uid="{00000000-0004-0000-1200-000033000000}"/>
    <hyperlink ref="G74" r:id="rId53" display="https://docs.google.com/spreadsheets/d/1Vf0-Zf5QXkKWI5TXBv-pwobDXPRbtWrTvnpwUqYjTZA/edit?usp=drivesdk" xr:uid="{00000000-0004-0000-1200-000034000000}"/>
    <hyperlink ref="G75" r:id="rId54" display="https://docs.google.com/spreadsheets/d/1WxXyg78YgPjV2g6Maufr1gPhwjcIhEA2YlR7XoLSu-A/edit?usp=drivesdk" xr:uid="{00000000-0004-0000-1200-000035000000}"/>
    <hyperlink ref="G76" r:id="rId55" display="https://docs.google.com/spreadsheets/d/1Kmvsurer_Lp6kV_gGHqAbBlz8HH6cFgI1dwAEnoNZ2g/edit?usp=drivesdk" xr:uid="{00000000-0004-0000-1200-000036000000}"/>
    <hyperlink ref="G77" r:id="rId56" display="https://docs.google.com/spreadsheets/d/19BIrSmulqEh9AXqKQdwgOUomd__wIypcOwldR9oSJtU/edit?usp=drivesdk" xr:uid="{00000000-0004-0000-1200-000037000000}"/>
    <hyperlink ref="G78" r:id="rId57" display="https://docs.google.com/spreadsheets/d/1Km5q6etNZVJvUXvQt7MbAm1CiPgdgD3WbuBk-IEbltE/edit?usp=drivesdk" xr:uid="{00000000-0004-0000-1200-000038000000}"/>
    <hyperlink ref="G79" r:id="rId58" display="https://docs.google.com/spreadsheets/d/1BhVSucEAj1wo7CpB5JE7KlLSrNVdFxF7YIoDXXy5DFo/edit?usp=drivesdk" xr:uid="{00000000-0004-0000-1200-000039000000}"/>
    <hyperlink ref="G80" r:id="rId59" display="https://docs.google.com/spreadsheets/d/1SjAdeb1zUMrHPIkdruy08Cdpv35GPoEXDjy8zscxEm4/edit?usp=drivesdk" xr:uid="{00000000-0004-0000-1200-00003A000000}"/>
    <hyperlink ref="G81" r:id="rId60" display="https://docs.google.com/spreadsheets/d/16MGW4WNSw5JI3UfbJqM1hAKIbvqQRbo-41n08BX07BE/edit?usp=drivesdk" xr:uid="{00000000-0004-0000-1200-00003B000000}"/>
    <hyperlink ref="G82" r:id="rId61" display="https://docs.google.com/spreadsheets/d/1M5eBktJ24jwZP15Z9GXIyy6b6T9ksZfU-CGiztfx2Zc/edit?usp=drivesdk" xr:uid="{00000000-0004-0000-1200-00003C000000}"/>
    <hyperlink ref="G83" r:id="rId62" display="https://docs.google.com/spreadsheets/d/1sNqCLS4ouDciEDu87MuB-7sr2veWtiBMKHhj8Ce0C4M/edit?usp=drivesdk" xr:uid="{00000000-0004-0000-1200-00003D000000}"/>
    <hyperlink ref="G84" r:id="rId63" display="https://docs.google.com/spreadsheets/d/11Ii-qxGsj-laNAFvL8sxd3sw0FfHuY-_L8GiFn6IXHg/edit?usp=drivesdk" xr:uid="{00000000-0004-0000-1200-00003E000000}"/>
    <hyperlink ref="G85" r:id="rId64" display="https://docs.google.com/spreadsheets/d/1M7TRvgVNWBLpyTEKRxOwK6LgCwakMitz7S6B-mW1QVo/edit?usp=drivesdk" xr:uid="{00000000-0004-0000-1200-00003F000000}"/>
    <hyperlink ref="G86" r:id="rId65" display="https://docs.google.com/spreadsheets/d/1QWMxzYY9-ggGQqsSN5-2Zj1l5akdKTTeaGM-X3nkvK4/edit?usp=drivesdk" xr:uid="{00000000-0004-0000-1200-000040000000}"/>
    <hyperlink ref="G87" r:id="rId66" display="https://docs.google.com/spreadsheets/d/1u5EkAfQgN-3SlSU8zM8jDrtRH35bUPYYSXIFnmO7pYY/edit?usp=drivesdk" xr:uid="{00000000-0004-0000-1200-000041000000}"/>
    <hyperlink ref="G88" r:id="rId67" display="https://docs.google.com/spreadsheets/d/1DRvYYIfoAjZe-UdmMcKlpTA9xwpDShbwvBMpEGxk378/edit?usp=drivesdk" xr:uid="{00000000-0004-0000-1200-000042000000}"/>
    <hyperlink ref="G89" r:id="rId68" display="https://docs.google.com/spreadsheets/d/13tzA1ktx5PEp-qtKszyaWBlwGMM3wHaqvNnkZZOl2zk/edit?usp=drivesdk" xr:uid="{00000000-0004-0000-1200-000043000000}"/>
    <hyperlink ref="G90" r:id="rId69" display="https://docs.google.com/spreadsheets/d/1Ktp6iyvl-kklS-MZfUJ_MykMhrGukOUaNxw9FzKCxl4/edit?usp=drivesdk" xr:uid="{00000000-0004-0000-1200-000044000000}"/>
    <hyperlink ref="G91" r:id="rId70" display="https://docs.google.com/spreadsheets/d/1OpwR9I7hNZuzbsQkD0Z7-U6ojcQ0hskrVeExjZie4ss/edit?usp=drivesdk" xr:uid="{00000000-0004-0000-1200-000045000000}"/>
    <hyperlink ref="G92" r:id="rId71" display="https://docs.google.com/spreadsheets/d/1eHJHU2oBK2I2_UbwVQ-Nyb61XUPORAGjjcTRClr09ss/edit?usp=drivesdk" xr:uid="{00000000-0004-0000-1200-000046000000}"/>
    <hyperlink ref="G93" r:id="rId72" display="https://docs.google.com/spreadsheets/d/1urW4NW7aifLlnWw_WI2EYfqcHUwalIMX3pJSpuU6CTI/edit?usp=drivesdk" xr:uid="{00000000-0004-0000-1200-000047000000}"/>
    <hyperlink ref="G94" r:id="rId73" display="https://docs.google.com/spreadsheets/d/1Yi8rj5sGpnDAdLnDztruq1OQTmBExzLf6R57V3wm3zY/edit?usp=drivesdk" xr:uid="{00000000-0004-0000-1200-000048000000}"/>
    <hyperlink ref="G95" r:id="rId74" display="https://docs.google.com/spreadsheets/d/1_1cOeimbnamQ3N5wYwa3h59ugQ3VU1w7gBsjeAdeRZM/edit?usp=drivesdk" xr:uid="{00000000-0004-0000-1200-000049000000}"/>
    <hyperlink ref="G96" r:id="rId75" display="https://docs.google.com/spreadsheets/d/1GQIqFioSRCUcLIxfjMk2KYEEUU8xAo_KfKuIQA1mJDU/edit?usp=drivesdk" xr:uid="{00000000-0004-0000-1200-00004A000000}"/>
    <hyperlink ref="G97" r:id="rId76" display="https://docs.google.com/spreadsheets/d/1whaRso4QpeV0nmGqpcUOuUD2VziIUI3bPpcBU98CuJw/edit?usp=drivesdk" xr:uid="{00000000-0004-0000-1200-00004B000000}"/>
    <hyperlink ref="G98" r:id="rId77" display="https://docs.google.com/spreadsheets/d/1PmKkTSPgPf4_6waZYYpTJf24L28th49KA7jBRB7SRvs/edit?usp=drivesdk" xr:uid="{00000000-0004-0000-1200-00004C000000}"/>
    <hyperlink ref="G99" r:id="rId78" display="https://docs.google.com/spreadsheets/d/1PMmqzKQovq-E4y36JxV5Bqx4lL1en5xNeWb7VCXXOv0/edit?usp=drivesdk" xr:uid="{00000000-0004-0000-1200-00004D000000}"/>
    <hyperlink ref="G100" r:id="rId79" display="https://docs.google.com/spreadsheets/d/1Ywu097SnBg4bqYCvL05URfJg_Sm47GGfMftcw-3PlAc/edit?usp=drivesdk" xr:uid="{00000000-0004-0000-1200-00004E000000}"/>
    <hyperlink ref="G101" r:id="rId80" display="https://docs.google.com/spreadsheets/d/1ib6lAJGS0APjKXxC__0UonPM1KszUjR5OyENwSJha2k/edit?usp=drivesdk" xr:uid="{00000000-0004-0000-1200-00004F000000}"/>
    <hyperlink ref="G102" r:id="rId81" display="https://docs.google.com/spreadsheets/d/1DuYtuOUsVtcJzFIBxv-_AdZCtTAB0Wwq2YaLv4zd5Cc/edit?usp=drivesdk" xr:uid="{00000000-0004-0000-1200-000050000000}"/>
    <hyperlink ref="G103" r:id="rId82" display="https://docs.google.com/spreadsheets/d/1Ejaz54ZsYejnxftjfLfkRpgHsR9G3dA5jIxdLDrxHxI/edit?usp=drivesdk" xr:uid="{00000000-0004-0000-1200-000051000000}"/>
    <hyperlink ref="G104" r:id="rId83" display="https://docs.google.com/spreadsheets/d/1lZW484NQgXSojjRVO7vQcUhFVYWyLTaCKYctbKCCfUQ/edit?usp=drivesdk" xr:uid="{00000000-0004-0000-1200-000052000000}"/>
    <hyperlink ref="G105" r:id="rId84" display="https://docs.google.com/spreadsheets/d/1HJO-BMSCbfdR82fltJY138SIDsNv50He-k8v28haIRU/edit?usp=drivesdk" xr:uid="{00000000-0004-0000-1200-000053000000}"/>
    <hyperlink ref="G106" r:id="rId85" display="https://docs.google.com/spreadsheets/d/1VKgyMRLEFN80t5Ql1WCqryj9xpJOziaSgt0tjdZrtMc/edit?usp=drivesdk" xr:uid="{00000000-0004-0000-1200-000054000000}"/>
    <hyperlink ref="G107" r:id="rId86" display="https://docs.google.com/spreadsheets/d/1l5t-J90otzP49mnOQUUdYoPkw81yq_sAf2TVfQ5EwkI/edit?usp=drivesdk" xr:uid="{00000000-0004-0000-1200-000055000000}"/>
    <hyperlink ref="G108" r:id="rId87" display="https://docs.google.com/spreadsheets/d/19G3gNmK4fVXNo9dP1a_zD4DnwMAdDWztj2D0W7VUfuc/edit?usp=drivesdk" xr:uid="{00000000-0004-0000-1200-000056000000}"/>
    <hyperlink ref="G109" r:id="rId88" display="https://docs.google.com/spreadsheets/d/1E7P_OFq6gp0rCqjukImSDtdiMjYwAXzVvyxKYUEY5Vs/edit?usp=drivesdk" xr:uid="{00000000-0004-0000-1200-000057000000}"/>
    <hyperlink ref="G110" r:id="rId89" display="https://docs.google.com/spreadsheets/d/1kKk37hKU7f-HkclDWpUQx3SFR7vZKnZ7a-MQ0l0uUco/edit?usp=drivesdk" xr:uid="{00000000-0004-0000-1200-000058000000}"/>
    <hyperlink ref="G111" r:id="rId90" display="https://docs.google.com/spreadsheets/d/1N-hCJa3jXN0EdoGW-EjUaRQnajJAsAqzwbpJ98_D5s0/edit?usp=drivesdk" xr:uid="{00000000-0004-0000-1200-000059000000}"/>
    <hyperlink ref="G112" r:id="rId91" display="https://docs.google.com/spreadsheets/d/19iPFTPnZJunPd_7oUameQhwQC44WcwCPrgWyCYnO_AU/edit?usp=drivesdk" xr:uid="{00000000-0004-0000-1200-00005A000000}"/>
    <hyperlink ref="G113" r:id="rId92" display="https://docs.google.com/spreadsheets/d/1JOGZLtPIZrC_hmETVwdi76EJnDGISkThWsfVh-3rm8w/edit?usp=drivesdk" xr:uid="{00000000-0004-0000-1200-00005B000000}"/>
    <hyperlink ref="G114" r:id="rId93" display="https://docs.google.com/spreadsheets/d/1t88Ydr2xFy_sgcFtj7-a694MR-H73o2d87CpnYs3Z3E/edit?usp=drivesdk" xr:uid="{00000000-0004-0000-1200-00005C000000}"/>
    <hyperlink ref="G115" r:id="rId94" display="https://docs.google.com/spreadsheets/d/1hk85jfDuqz_wh8tENGP7AqA_mg4ig8_1W93pf3G3t9o/edit?usp=drivesdk" xr:uid="{00000000-0004-0000-1200-00005D000000}"/>
    <hyperlink ref="G116" r:id="rId95" display="https://docs.google.com/spreadsheets/d/1RFH2Av3Tm_RqpN0fq7wexCn0KQV4MwyE8G0TMvVJvrk/edit?usp=drivesdk" xr:uid="{00000000-0004-0000-1200-00005E000000}"/>
    <hyperlink ref="G117" r:id="rId96" display="https://docs.google.com/spreadsheets/d/1wdB09foCGcSEgmXzn5lY5OADXHxsBUS-pxrLXC1nu-Q/edit?usp=drivesdk" xr:uid="{00000000-0004-0000-1200-00005F000000}"/>
    <hyperlink ref="G118" r:id="rId97" display="https://docs.google.com/spreadsheets/d/1qhpJgbLW-03lJLEij2lbrPhbwEtA-SVE8xadNEN1eB8/edit?usp=drivesdk" xr:uid="{00000000-0004-0000-1200-000060000000}"/>
    <hyperlink ref="G119" r:id="rId98" display="https://docs.google.com/spreadsheets/d/1iv5IhTttMuqC6B8cGLWbbmBzp_wmEfY1OLYmviP9Da4/edit?usp=drivesdk" xr:uid="{00000000-0004-0000-1200-000061000000}"/>
    <hyperlink ref="G120" r:id="rId99" display="https://docs.google.com/spreadsheets/d/1G-LdkZmi__DcqEqCiPbS_DD26_o6h1hQq85hPc2HPGM/edit?usp=drivesdk" xr:uid="{00000000-0004-0000-1200-000062000000}"/>
    <hyperlink ref="G121" r:id="rId100" display="https://docs.google.com/spreadsheets/d/1gPz1Y1GmQGycMevCJNUMZyUwzKto9LxZ7Q5zcSsfvZA/edit?usp=drivesdk" xr:uid="{00000000-0004-0000-1200-000063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F2"/>
  <sheetViews>
    <sheetView workbookViewId="0"/>
  </sheetViews>
  <sheetFormatPr defaultColWidth="12.7265625" defaultRowHeight="15.75" customHeight="1"/>
  <cols>
    <col min="1" max="1" width="7.1796875" customWidth="1"/>
    <col min="2" max="2" width="30" customWidth="1"/>
    <col min="3" max="3" width="14.81640625" customWidth="1"/>
    <col min="4" max="4" width="17" customWidth="1"/>
    <col min="5" max="5" width="31.1796875" customWidth="1"/>
    <col min="6" max="6" width="16.26953125" customWidth="1"/>
  </cols>
  <sheetData>
    <row r="1" spans="1:6">
      <c r="B1" s="54" t="s">
        <v>707</v>
      </c>
      <c r="C1" s="54" t="s">
        <v>779</v>
      </c>
      <c r="D1" s="54" t="s">
        <v>765</v>
      </c>
      <c r="E1" s="54" t="s">
        <v>780</v>
      </c>
      <c r="F1" s="54" t="s">
        <v>781</v>
      </c>
    </row>
    <row r="2" spans="1:6" ht="15.75" customHeight="1">
      <c r="A2" s="2" t="str">
        <f ca="1">IFERROR(__xludf.DUMMYFUNCTION("IMPORTRANGE('設定'!E20, ""連絡先一覧!A4:F"")"),"#N/A")</f>
        <v>#N/A</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入賞者</vt:lpstr>
      <vt:lpstr>読手</vt:lpstr>
      <vt:lpstr>振込一覧（確認用）</vt:lpstr>
      <vt:lpstr>振込一覧（送信用原本）</vt:lpstr>
      <vt:lpstr>かるた会一覧</vt:lpstr>
      <vt:lpstr>速報シート集約</vt:lpstr>
      <vt:lpstr>連絡先一覧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川添友和</dc:creator>
  <cp:lastModifiedBy>松田あい子</cp:lastModifiedBy>
  <dcterms:created xsi:type="dcterms:W3CDTF">2025-07-22T06:30:23Z</dcterms:created>
  <dcterms:modified xsi:type="dcterms:W3CDTF">2025-08-09T13:44:10Z</dcterms:modified>
</cp:coreProperties>
</file>